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ly\Desktop\Malecare\FY2018\"/>
    </mc:Choice>
  </mc:AlternateContent>
  <xr:revisionPtr revIDLastSave="0" documentId="8_{6AEE4854-8513-4038-8F08-9A1F6C092590}" xr6:coauthVersionLast="40" xr6:coauthVersionMax="40" xr10:uidLastSave="{00000000-0000-0000-0000-000000000000}"/>
  <bookViews>
    <workbookView xWindow="0" yWindow="0" windowWidth="20520" windowHeight="8828" tabRatio="788" firstSheet="1" activeTab="1" xr2:uid="{00000000-000D-0000-FFFF-FFFF00000000}"/>
  </bookViews>
  <sheets>
    <sheet name="Cover" sheetId="29" state="hidden" r:id="rId1"/>
    <sheet name="SOFP" sheetId="1" r:id="rId2"/>
    <sheet name="SOA" sheetId="4" r:id="rId3"/>
    <sheet name="SOCF" sheetId="5" r:id="rId4"/>
    <sheet name="SOFE.current" sheetId="6" r:id="rId5"/>
    <sheet name="SOFE.prior" sheetId="27" r:id="rId6"/>
    <sheet name="NARF" sheetId="36" r:id="rId7"/>
    <sheet name="BS.current" sheetId="17" state="hidden" r:id="rId8"/>
    <sheet name="BS.prior" sheetId="16" state="hidden" r:id="rId9"/>
    <sheet name="BS.multi year" sheetId="19" state="hidden" r:id="rId10"/>
    <sheet name="BS by month" sheetId="32" state="hidden" r:id="rId11"/>
    <sheet name="P&amp;L.current" sheetId="13" state="hidden" r:id="rId12"/>
    <sheet name="P&amp;L.prior" sheetId="15" state="hidden" r:id="rId13"/>
    <sheet name="P&amp;L.by month" sheetId="30" state="hidden" r:id="rId14"/>
    <sheet name="Dashboard Data" sheetId="10" state="hidden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" localSheetId="6">[1]FinPos!#REF!</definedName>
    <definedName name="a">[1]FinPos!#REF!</definedName>
    <definedName name="A_2" localSheetId="6">'[2]Exh A'!$I$20</definedName>
    <definedName name="A_2">'[3]Exh A'!$I$20</definedName>
    <definedName name="A_3" localSheetId="6">'[2]Exh A'!$I$21</definedName>
    <definedName name="A_3">'[3]Exh A'!$I$21</definedName>
    <definedName name="A_4" localSheetId="6">'[2]Exh A'!$I$40</definedName>
    <definedName name="A_4">'[3]Exh A'!$I$40</definedName>
    <definedName name="A_5" localSheetId="6">'[2]Exh A'!$I$41</definedName>
    <definedName name="A_5">'[3]Exh A'!$I$41</definedName>
    <definedName name="Account">[4]Sheet2!$A$1:$A$44</definedName>
    <definedName name="Accounts">'[5]Account List'!$A:$A</definedName>
    <definedName name="ActualNumberOfPayments">IFERROR(IF(LoanIsGood,IF(PaymentsPerYear=1,1,MATCH(0.01,End_Bal,-1)+1)),"")</definedName>
    <definedName name="all_nonprofits">SUM(#REF!)</definedName>
    <definedName name="Amount">[6]!Table1[Amount]</definedName>
    <definedName name="anything">IF(Loan_Amount*Interest_Rate*Loan_Years*Loan_Start&gt;0,1,0)</definedName>
    <definedName name="ARA_Threshold">'[7]Bal Sheet'!#REF!</definedName>
    <definedName name="area" localSheetId="6">'[8]monthly revenue'!#REF!</definedName>
    <definedName name="area">'[9]monthly revenue'!#REF!</definedName>
    <definedName name="ARP_Threshold">'[7]Bal Sheet'!#REF!</definedName>
    <definedName name="AS2DocOpenMode" hidden="1">"AS2DocumentEdit"</definedName>
    <definedName name="AsOfDate">"As of September 30, 2006"</definedName>
    <definedName name="b" localSheetId="6">[10]Proof!#REF!</definedName>
    <definedName name="b">[11]Proof!#REF!</definedName>
    <definedName name="B_11" localSheetId="6">'[2]Exh B'!$E$25</definedName>
    <definedName name="B_11">'[3]Exh B'!$E$25</definedName>
    <definedName name="BankRec">"** See Bank Reconciliation for 05/31/17 saved in YPTC folder"</definedName>
    <definedName name="Beg_Bal">'[12]Sweeper schedule'!$C$19:$C$79</definedName>
    <definedName name="C_6" localSheetId="6">'[2]Exh C'!$F$49</definedName>
    <definedName name="C_6">'[3]Exh C'!$F$49</definedName>
    <definedName name="Cat">[6]!Table1[Category]</definedName>
    <definedName name="class" localSheetId="6">[8]class!$F$1:$F$11</definedName>
    <definedName name="Class">[6]!Table1[Class]</definedName>
    <definedName name="classlist" localSheetId="6">[13]Proof!$M$11:$M$23</definedName>
    <definedName name="classlist">[14]Proof!$M$11:$M$23</definedName>
    <definedName name="code" localSheetId="6">'[8]expense key'!$B$1:$B$84</definedName>
    <definedName name="code">'[9]expense key'!$B$1:$B$84</definedName>
    <definedName name="ColumnTitle1">[15]!PaymentSchedule[[#Headers],[PMT NO]]</definedName>
    <definedName name="Company">"The Sass Foundation for Medical Research"</definedName>
    <definedName name="CY_Common_Equity">'[7]Bal Sheet'!#REF!</definedName>
    <definedName name="CY_Depreciation">'[7]Income Statement'!#REF!</definedName>
    <definedName name="CY_Intangible_Assets">'[7]Bal Sheet'!#REF!</definedName>
    <definedName name="CY_Interest_Expense">'[7]Income Statement'!#REF!</definedName>
    <definedName name="CY_LT_Debt">'[7]Bal Sheet'!#REF!</definedName>
    <definedName name="CY_Market_Value_of_Equity">'[7]Income Statement'!#REF!</definedName>
    <definedName name="CY_Marketable_Sec">'[7]Bal Sheet'!#REF!</definedName>
    <definedName name="CY_Other">'[7]Income Statement'!#REF!</definedName>
    <definedName name="CY_Selling">'[7]Income Statement'!#REF!</definedName>
    <definedName name="CY_Tangible_Net_Worth">'[7]Income Statement'!#REF!</definedName>
    <definedName name="D_5" localSheetId="6">'[2]Exh D'!$P$10</definedName>
    <definedName name="D_5">'[3]Exh D'!$P$10</definedName>
    <definedName name="E_1" localSheetId="6">'[2]Exh E'!$H$8</definedName>
    <definedName name="E_1">'[3]Exh E'!$H$8</definedName>
    <definedName name="E_15" localSheetId="6">'[2]Exh E'!$H$22</definedName>
    <definedName name="E_15">'[3]Exh E'!$H$22</definedName>
    <definedName name="E_2" localSheetId="6">'[2]Exh E'!$H$9</definedName>
    <definedName name="E_2">'[3]Exh E'!$H$9</definedName>
    <definedName name="E_21" localSheetId="6">'[2]Exh E'!$H$46</definedName>
    <definedName name="E_21">'[3]Exh E'!$H$46</definedName>
    <definedName name="E_23" localSheetId="6">'[2]Exh E'!$H$48</definedName>
    <definedName name="E_23">'[3]Exh E'!$H$48</definedName>
    <definedName name="E_3" localSheetId="6">'[2]Exh E'!$H$10</definedName>
    <definedName name="E_3">'[3]Exh E'!$H$10</definedName>
    <definedName name="E_30" localSheetId="6">'[2]Exh E'!$H$59</definedName>
    <definedName name="E_30">'[3]Exh E'!$H$59</definedName>
    <definedName name="E_31" localSheetId="6">'[2]Exh E'!$H$60</definedName>
    <definedName name="E_31">'[3]Exh E'!$H$60</definedName>
    <definedName name="E_36" localSheetId="6">'[2]Exh E'!$H$72</definedName>
    <definedName name="E_36">'[3]Exh E'!$H$72</definedName>
    <definedName name="E_4" localSheetId="6">'[2]Exh E'!$H$11</definedName>
    <definedName name="E_4">'[3]Exh E'!$H$11</definedName>
    <definedName name="E_40" localSheetId="6">'[2]Exh E'!$D$79</definedName>
    <definedName name="E_40">'[3]Exh E'!$D$79</definedName>
    <definedName name="E_48" localSheetId="6">'[2]Exh E'!$D$103</definedName>
    <definedName name="E_48">'[3]Exh E'!$D$103</definedName>
    <definedName name="E_49" localSheetId="6">'[2]Exh E'!$D$108</definedName>
    <definedName name="E_49">'[3]Exh E'!$D$108</definedName>
    <definedName name="E_5" localSheetId="6">'[2]Exh E'!$H$12</definedName>
    <definedName name="E_5">'[3]Exh E'!$H$12</definedName>
    <definedName name="E_50" localSheetId="6">'[2]Exh E'!$D$109</definedName>
    <definedName name="E_50">'[3]Exh E'!$D$109</definedName>
    <definedName name="E_51" localSheetId="6">'[2]Exh E'!$D$110</definedName>
    <definedName name="E_51">'[3]Exh E'!$D$110</definedName>
    <definedName name="E_52" localSheetId="6">'[2]Exh E'!$D$111</definedName>
    <definedName name="E_52">'[3]Exh E'!$D$111</definedName>
    <definedName name="E_6" localSheetId="6">'[2]Exh E'!$H$13</definedName>
    <definedName name="E_6">'[3]Exh E'!$H$13</definedName>
    <definedName name="E_9" localSheetId="6">'[2]Exh E'!$H$16</definedName>
    <definedName name="E_9">'[3]Exh E'!$H$16</definedName>
    <definedName name="End_Bal">[15]!PaymentSchedule[ENDING BALANCE]</definedName>
    <definedName name="expenses" localSheetId="6">#REF!</definedName>
    <definedName name="expenses">#REF!</definedName>
    <definedName name="Extra_Pay">'[12]Sweeper schedule'!$E$19:$E$79</definedName>
    <definedName name="ExtraPayments">'[15]Loan Schedule'!$E$9</definedName>
    <definedName name="Full_Print">'[12]Sweeper schedule'!$A$2:$J$79</definedName>
    <definedName name="Group">[6]!Table1[Grouping]</definedName>
    <definedName name="Header_Row">ROW('[12]Sweeper schedule'!$A$18:$IV$18)</definedName>
    <definedName name="Int">'[12]Sweeper schedule'!$H$19:$H$79</definedName>
    <definedName name="Interest_Rate">'[12]Sweeper schedule'!$D$7</definedName>
    <definedName name="InterestRate">'[15]Loan Schedule'!$E$4</definedName>
    <definedName name="IO_CUR_COL">1</definedName>
    <definedName name="IO_CUR_ROW">1</definedName>
    <definedName name="l_">#N/A</definedName>
    <definedName name="Last_Row">IF(Values_Entered,Header_Row+Number_of_Payments,Header_Row)</definedName>
    <definedName name="LastCol">MATCH(REPT("z",255),'[15]Loan Schedule'!$11:$11)</definedName>
    <definedName name="LastRow">MATCH(9.99E+307,'[15]Loan Schedule'!$B:$B)</definedName>
    <definedName name="list" localSheetId="6">#REF!</definedName>
    <definedName name="list">#REF!</definedName>
    <definedName name="list2" localSheetId="6">'[8]expense key'!$A$1:$A$84</definedName>
    <definedName name="list2">'[9]expense key'!$A$1:$A$84</definedName>
    <definedName name="Loan_Amount">'[12]Sweeper schedule'!$D$6</definedName>
    <definedName name="Loan_Start">'[12]Sweeper schedule'!$D$10</definedName>
    <definedName name="Loan_Years">'[12]Sweeper schedule'!$D$8</definedName>
    <definedName name="LoanAmount">'[15]Loan Schedule'!$E$3</definedName>
    <definedName name="LoanIsGood">('[15]Loan Schedule'!$E$3*'[15]Loan Schedule'!$E$4*'[15]Loan Schedule'!$E$5*'[15]Loan Schedule'!$E$7)&gt;0</definedName>
    <definedName name="LoanPeriod">'[15]Loan Schedule'!$E$5</definedName>
    <definedName name="LoanStartDate">'[15]Loan Schedule'!$E$7</definedName>
    <definedName name="MeDate">"As of June 30, 2017"</definedName>
    <definedName name="NA" localSheetId="6">#REF!</definedName>
    <definedName name="NA">#REF!</definedName>
    <definedName name="net_asset_list" localSheetId="6">'[10]Net Assets YTD'!$B$5:$B$85</definedName>
    <definedName name="net_asset_list">'[11]Net Assets YTD'!$B$5:$B$85</definedName>
    <definedName name="Num_Pmt_Per_Year">'[12]Sweeper schedule'!$D$9</definedName>
    <definedName name="Number_of_Payments">#N/A</definedName>
    <definedName name="Pay_Num">'[12]Sweeper schedule'!$A$19:$A$79</definedName>
    <definedName name="Payment_Date">DATE(YEAR(Loan_Start),MONTH(Loan_Start)+Payment_Number,DAY(Loan_Start))</definedName>
    <definedName name="PaymentsPerYear">'[15]Loan Schedule'!$E$6</definedName>
    <definedName name="Period">[6]!Table1[Period]</definedName>
    <definedName name="Pipeline" localSheetId="6">[8]class!$B$87</definedName>
    <definedName name="Pipeline">[9]class!$B$87</definedName>
    <definedName name="plt">#REF!</definedName>
    <definedName name="Princ">'[12]Sweeper schedule'!$G$19:$G$79</definedName>
    <definedName name="print">OFFSET(Full_Print,0,0,Last_Row)</definedName>
    <definedName name="_xlnm.Print_Area" localSheetId="6">NARF!$A$1:$K$48</definedName>
    <definedName name="_xlnm.Print_Area" localSheetId="2">SOA!$A$1:$O$33</definedName>
    <definedName name="_xlnm.Print_Area" localSheetId="4">SOFE.current!$A$1:$G$24</definedName>
    <definedName name="_xlnm.Print_Area" localSheetId="5">SOFE.prior!$A$1:$G$24</definedName>
    <definedName name="_xlnm.Print_Area" localSheetId="1">SOFP!$A$1:$H$67</definedName>
    <definedName name="Print_Area_Reset">OFFSET(Full_Print,0,0,Last_Row)</definedName>
    <definedName name="_xlnm.Print_Titles" localSheetId="10">'BS by month'!$C:$H,'BS by month'!$2:$3</definedName>
    <definedName name="_xlnm.Print_Titles" localSheetId="7">BS.current!$C:$I,BS.current!$3:$3</definedName>
    <definedName name="_xlnm.Print_Titles" localSheetId="9">'BS.multi year'!$C:$H,'BS.multi year'!$3:$3</definedName>
    <definedName name="_xlnm.Print_Titles" localSheetId="8">BS.prior!$C:$H,BS.prior!$3:$3</definedName>
    <definedName name="_xlnm.Print_Titles" localSheetId="13">'P&amp;L.by month'!$C:$H,'P&amp;L.by month'!$2:$3</definedName>
    <definedName name="_xlnm.Print_Titles" localSheetId="11">'P&amp;L.current'!$C:$H,'P&amp;L.current'!$2:$3</definedName>
    <definedName name="_xlnm.Print_Titles" localSheetId="12">'P&amp;L.prior'!$C:$H,'P&amp;L.prior'!$2:$3</definedName>
    <definedName name="PrintArea_SET">OFFSET('[15]Loan Schedule'!$B$1,,,LastRow,LastCol)</definedName>
    <definedName name="PY_Common_Equity">'[7]Bal Sheet'!#REF!</definedName>
    <definedName name="PY_Depreciation">'[7]Income Statement'!#REF!</definedName>
    <definedName name="PY_Intangible_Assets">'[7]Bal Sheet'!#REF!</definedName>
    <definedName name="PY_Interest_Expense">'[7]Income Statement'!#REF!</definedName>
    <definedName name="PY_LT_Debt">'[7]Bal Sheet'!#REF!</definedName>
    <definedName name="PY_Market_Value_of_Equity">'[7]Income Statement'!#REF!</definedName>
    <definedName name="PY_Marketable_Sec">'[7]Bal Sheet'!#REF!</definedName>
    <definedName name="PY_Other_Exp">'[7]Income Statement'!#REF!</definedName>
    <definedName name="PY_Selling">'[7]Income Statement'!#REF!</definedName>
    <definedName name="PY_Tangible_Net_Worth">'[7]Income Statement'!#REF!</definedName>
    <definedName name="PY2_Common_Equity">'[7]Bal Sheet'!#REF!</definedName>
    <definedName name="PY2_Depreciation">'[7]Income Statement'!#REF!</definedName>
    <definedName name="PY2_Intangible_Assets">'[7]Bal Sheet'!#REF!</definedName>
    <definedName name="PY2_Interest_Expense">'[7]Income Statement'!#REF!</definedName>
    <definedName name="PY2_LT_Debt">'[7]Bal Sheet'!#REF!</definedName>
    <definedName name="PY2_Marketable_Sec">'[7]Bal Sheet'!#REF!</definedName>
    <definedName name="PY2_Other_Exp.">'[7]Income Statement'!#REF!</definedName>
    <definedName name="PY2_Selling">'[7]Income Statement'!#REF!</definedName>
    <definedName name="PY2_Tangible_Net_Worth">'[7]Income Statement'!#REF!</definedName>
    <definedName name="QB_COLUMN_1002200" localSheetId="10" hidden="1">'BS by month'!$M$2</definedName>
    <definedName name="QB_COLUMN_1002200" localSheetId="13" hidden="1">'P&amp;L.by month'!$M$2</definedName>
    <definedName name="QB_COLUMN_1002200" localSheetId="11" hidden="1">'P&amp;L.current'!$M$2</definedName>
    <definedName name="QB_COLUMN_1002200" localSheetId="12" hidden="1">'P&amp;L.prior'!$M$2</definedName>
    <definedName name="QB_COLUMN_1002201" localSheetId="10" hidden="1">'BS by month'!$M$3</definedName>
    <definedName name="QB_COLUMN_1002201" localSheetId="13" hidden="1">'P&amp;L.by month'!$M$3</definedName>
    <definedName name="QB_COLUMN_1002201" localSheetId="11" hidden="1">'P&amp;L.current'!$M$3</definedName>
    <definedName name="QB_COLUMN_1002201" localSheetId="12" hidden="1">'P&amp;L.prior'!$M$3</definedName>
    <definedName name="QB_COLUMN_1012300" localSheetId="10" hidden="1">'BS by month'!$T$2</definedName>
    <definedName name="QB_COLUMN_1012300" localSheetId="13" hidden="1">'P&amp;L.by month'!$T$2</definedName>
    <definedName name="QB_COLUMN_1012300" localSheetId="11" hidden="1">'P&amp;L.current'!$T$2</definedName>
    <definedName name="QB_COLUMN_1012300" localSheetId="12" hidden="1">'P&amp;L.prior'!$T$2</definedName>
    <definedName name="QB_COLUMN_1012301" localSheetId="10" hidden="1">'BS by month'!$T$3</definedName>
    <definedName name="QB_COLUMN_1012301" localSheetId="13" hidden="1">'P&amp;L.by month'!$T$3</definedName>
    <definedName name="QB_COLUMN_1012301" localSheetId="11" hidden="1">'P&amp;L.current'!$T$3</definedName>
    <definedName name="QB_COLUMN_1012301" localSheetId="12" hidden="1">'P&amp;L.prior'!$T$3</definedName>
    <definedName name="QB_COLUMN_1022200" localSheetId="10" hidden="1">'BS by month'!#REF!</definedName>
    <definedName name="QB_COLUMN_1022200" localSheetId="13" hidden="1">'P&amp;L.by month'!#REF!</definedName>
    <definedName name="QB_COLUMN_1022200" localSheetId="11" hidden="1">'P&amp;L.current'!$BA$2</definedName>
    <definedName name="QB_COLUMN_1022200" localSheetId="12" hidden="1">'P&amp;L.prior'!#REF!</definedName>
    <definedName name="QB_COLUMN_1022201" localSheetId="10" hidden="1">'BS by month'!#REF!</definedName>
    <definedName name="QB_COLUMN_1022201" localSheetId="13" hidden="1">'P&amp;L.by month'!#REF!</definedName>
    <definedName name="QB_COLUMN_1022201" localSheetId="11" hidden="1">'P&amp;L.current'!$BA$3</definedName>
    <definedName name="QB_COLUMN_1022201" localSheetId="12" hidden="1">'P&amp;L.prior'!#REF!</definedName>
    <definedName name="QB_COLUMN_1042300" localSheetId="10" hidden="1">'BS by month'!$S$2</definedName>
    <definedName name="QB_COLUMN_1042300" localSheetId="13" hidden="1">'P&amp;L.by month'!$S$2</definedName>
    <definedName name="QB_COLUMN_1042300" localSheetId="11" hidden="1">'P&amp;L.current'!$S$2</definedName>
    <definedName name="QB_COLUMN_1042300" localSheetId="12" hidden="1">'P&amp;L.prior'!$S$2</definedName>
    <definedName name="QB_COLUMN_1042301" localSheetId="10" hidden="1">'BS by month'!$S$3</definedName>
    <definedName name="QB_COLUMN_1042301" localSheetId="13" hidden="1">'P&amp;L.by month'!$S$3</definedName>
    <definedName name="QB_COLUMN_1042301" localSheetId="11" hidden="1">'P&amp;L.current'!$S$3</definedName>
    <definedName name="QB_COLUMN_1042301" localSheetId="12" hidden="1">'P&amp;L.prior'!$S$3</definedName>
    <definedName name="QB_COLUMN_1052300" localSheetId="10" hidden="1">'BS by month'!$R$2</definedName>
    <definedName name="QB_COLUMN_1052300" localSheetId="13" hidden="1">'P&amp;L.by month'!$R$2</definedName>
    <definedName name="QB_COLUMN_1052300" localSheetId="11" hidden="1">'P&amp;L.current'!$R$2</definedName>
    <definedName name="QB_COLUMN_1052300" localSheetId="12" hidden="1">'P&amp;L.prior'!$R$2</definedName>
    <definedName name="QB_COLUMN_1052301" localSheetId="10" hidden="1">'BS by month'!$R$3</definedName>
    <definedName name="QB_COLUMN_1052301" localSheetId="13" hidden="1">'P&amp;L.by month'!$R$3</definedName>
    <definedName name="QB_COLUMN_1052301" localSheetId="11" hidden="1">'P&amp;L.current'!$R$3</definedName>
    <definedName name="QB_COLUMN_1052301" localSheetId="12" hidden="1">'P&amp;L.prior'!$R$3</definedName>
    <definedName name="QB_COLUMN_1062200" localSheetId="10" hidden="1">'BS by month'!$AI$2</definedName>
    <definedName name="QB_COLUMN_1062200" localSheetId="13" hidden="1">'P&amp;L.by month'!$AI$2</definedName>
    <definedName name="QB_COLUMN_1062200" localSheetId="11" hidden="1">'P&amp;L.current'!$AI$2</definedName>
    <definedName name="QB_COLUMN_1062200" localSheetId="12" hidden="1">'P&amp;L.prior'!$AI$2</definedName>
    <definedName name="QB_COLUMN_1062201" localSheetId="10" hidden="1">'BS by month'!$AI$3</definedName>
    <definedName name="QB_COLUMN_1062201" localSheetId="13" hidden="1">'P&amp;L.by month'!$AI$3</definedName>
    <definedName name="QB_COLUMN_1062201" localSheetId="11" hidden="1">'P&amp;L.current'!$AI$3</definedName>
    <definedName name="QB_COLUMN_1062201" localSheetId="12" hidden="1">'P&amp;L.prior'!$AI$3</definedName>
    <definedName name="QB_COLUMN_1092200" localSheetId="10" hidden="1">'BS by month'!$L$2</definedName>
    <definedName name="QB_COLUMN_1092200" localSheetId="13" hidden="1">'P&amp;L.by month'!$L$2</definedName>
    <definedName name="QB_COLUMN_1092200" localSheetId="11" hidden="1">'P&amp;L.current'!$L$2</definedName>
    <definedName name="QB_COLUMN_1092200" localSheetId="12" hidden="1">'P&amp;L.prior'!$L$2</definedName>
    <definedName name="QB_COLUMN_1092201" localSheetId="10" hidden="1">'BS by month'!$L$3</definedName>
    <definedName name="QB_COLUMN_1092201" localSheetId="13" hidden="1">'P&amp;L.by month'!$L$3</definedName>
    <definedName name="QB_COLUMN_1092201" localSheetId="11" hidden="1">'P&amp;L.current'!$L$3</definedName>
    <definedName name="QB_COLUMN_1092201" localSheetId="12" hidden="1">'P&amp;L.prior'!$L$3</definedName>
    <definedName name="QB_COLUMN_1102101" localSheetId="10" hidden="1">'BS by month'!$I$3</definedName>
    <definedName name="QB_COLUMN_1102101" localSheetId="13" hidden="1">'P&amp;L.by month'!$I$3</definedName>
    <definedName name="QB_COLUMN_1102101" localSheetId="11" hidden="1">'P&amp;L.current'!$I$3</definedName>
    <definedName name="QB_COLUMN_1102101" localSheetId="12" hidden="1">'P&amp;L.prior'!$I$3</definedName>
    <definedName name="QB_COLUMN_1112200" localSheetId="10" hidden="1">'BS by month'!$AJ$2</definedName>
    <definedName name="QB_COLUMN_1112200" localSheetId="13" hidden="1">'P&amp;L.by month'!$AJ$2</definedName>
    <definedName name="QB_COLUMN_1112200" localSheetId="11" hidden="1">'P&amp;L.current'!$AJ$2</definedName>
    <definedName name="QB_COLUMN_1112200" localSheetId="12" hidden="1">'P&amp;L.prior'!$AJ$2</definedName>
    <definedName name="QB_COLUMN_1112201" localSheetId="10" hidden="1">'BS by month'!$AJ$3</definedName>
    <definedName name="QB_COLUMN_1112201" localSheetId="13" hidden="1">'P&amp;L.by month'!$AJ$3</definedName>
    <definedName name="QB_COLUMN_1112201" localSheetId="11" hidden="1">'P&amp;L.current'!$AJ$3</definedName>
    <definedName name="QB_COLUMN_1112201" localSheetId="12" hidden="1">'P&amp;L.prior'!$AJ$3</definedName>
    <definedName name="QB_COLUMN_1132200" localSheetId="10" hidden="1">'BS by month'!$AK$2</definedName>
    <definedName name="QB_COLUMN_1132200" localSheetId="13" hidden="1">'P&amp;L.by month'!$AK$2</definedName>
    <definedName name="QB_COLUMN_1132200" localSheetId="11" hidden="1">'P&amp;L.current'!$AK$2</definedName>
    <definedName name="QB_COLUMN_1132200" localSheetId="12" hidden="1">'P&amp;L.prior'!$AK$2</definedName>
    <definedName name="QB_COLUMN_1132201" localSheetId="10" hidden="1">'BS by month'!$AK$3</definedName>
    <definedName name="QB_COLUMN_1132201" localSheetId="13" hidden="1">'P&amp;L.by month'!$AK$3</definedName>
    <definedName name="QB_COLUMN_1132201" localSheetId="11" hidden="1">'P&amp;L.current'!$AK$3</definedName>
    <definedName name="QB_COLUMN_1132201" localSheetId="12" hidden="1">'P&amp;L.prior'!$AK$3</definedName>
    <definedName name="QB_COLUMN_1152200" localSheetId="10" hidden="1">'BS by month'!#REF!</definedName>
    <definedName name="QB_COLUMN_1152200" localSheetId="13" hidden="1">'P&amp;L.by month'!#REF!</definedName>
    <definedName name="QB_COLUMN_1152200" localSheetId="11" hidden="1">'P&amp;L.current'!$AM$2</definedName>
    <definedName name="QB_COLUMN_1152200" localSheetId="12" hidden="1">'P&amp;L.prior'!#REF!</definedName>
    <definedName name="QB_COLUMN_1152201" localSheetId="10" hidden="1">'BS by month'!#REF!</definedName>
    <definedName name="QB_COLUMN_1152201" localSheetId="13" hidden="1">'P&amp;L.by month'!#REF!</definedName>
    <definedName name="QB_COLUMN_1152201" localSheetId="11" hidden="1">'P&amp;L.current'!$AM$3</definedName>
    <definedName name="QB_COLUMN_1152201" localSheetId="12" hidden="1">'P&amp;L.prior'!#REF!</definedName>
    <definedName name="QB_COLUMN_1162200" localSheetId="10" hidden="1">'BS by month'!$AG$2</definedName>
    <definedName name="QB_COLUMN_1162200" localSheetId="13" hidden="1">'P&amp;L.by month'!$AG$2</definedName>
    <definedName name="QB_COLUMN_1162200" localSheetId="11" hidden="1">'P&amp;L.current'!$AG$2</definedName>
    <definedName name="QB_COLUMN_1162200" localSheetId="12" hidden="1">'P&amp;L.prior'!$AG$2</definedName>
    <definedName name="QB_COLUMN_1162201" localSheetId="10" hidden="1">'BS by month'!$AG$3</definedName>
    <definedName name="QB_COLUMN_1162201" localSheetId="13" hidden="1">'P&amp;L.by month'!$AG$3</definedName>
    <definedName name="QB_COLUMN_1162201" localSheetId="11" hidden="1">'P&amp;L.current'!$AG$3</definedName>
    <definedName name="QB_COLUMN_1162201" localSheetId="12" hidden="1">'P&amp;L.prior'!$AG$3</definedName>
    <definedName name="QB_COLUMN_1172300" localSheetId="10" hidden="1">'BS by month'!$Q$2</definedName>
    <definedName name="QB_COLUMN_1172300" localSheetId="13" hidden="1">'P&amp;L.by month'!$Q$2</definedName>
    <definedName name="QB_COLUMN_1172300" localSheetId="11" hidden="1">'P&amp;L.current'!$Q$2</definedName>
    <definedName name="QB_COLUMN_1172300" localSheetId="12" hidden="1">'P&amp;L.prior'!$Q$2</definedName>
    <definedName name="QB_COLUMN_1172301" localSheetId="10" hidden="1">'BS by month'!$Q$3</definedName>
    <definedName name="QB_COLUMN_1172301" localSheetId="13" hidden="1">'P&amp;L.by month'!$Q$3</definedName>
    <definedName name="QB_COLUMN_1172301" localSheetId="11" hidden="1">'P&amp;L.current'!$Q$3</definedName>
    <definedName name="QB_COLUMN_1172301" localSheetId="12" hidden="1">'P&amp;L.prior'!$Q$3</definedName>
    <definedName name="QB_COLUMN_1182200" localSheetId="10" hidden="1">'BS by month'!$AH$2</definedName>
    <definedName name="QB_COLUMN_1182200" localSheetId="13" hidden="1">'P&amp;L.by month'!$AH$2</definedName>
    <definedName name="QB_COLUMN_1182200" localSheetId="11" hidden="1">'P&amp;L.current'!$AH$2</definedName>
    <definedName name="QB_COLUMN_1182200" localSheetId="12" hidden="1">'P&amp;L.prior'!$AH$2</definedName>
    <definedName name="QB_COLUMN_1182201" localSheetId="10" hidden="1">'BS by month'!$AH$3</definedName>
    <definedName name="QB_COLUMN_1182201" localSheetId="13" hidden="1">'P&amp;L.by month'!$AH$3</definedName>
    <definedName name="QB_COLUMN_1182201" localSheetId="11" hidden="1">'P&amp;L.current'!$AH$3</definedName>
    <definedName name="QB_COLUMN_1182201" localSheetId="12" hidden="1">'P&amp;L.prior'!$AH$3</definedName>
    <definedName name="QB_COLUMN_162200" localSheetId="10" hidden="1">'BS by month'!#REF!</definedName>
    <definedName name="QB_COLUMN_162200" localSheetId="13" hidden="1">'P&amp;L.by month'!#REF!</definedName>
    <definedName name="QB_COLUMN_162200" localSheetId="11" hidden="1">'P&amp;L.current'!$BF$2</definedName>
    <definedName name="QB_COLUMN_162200" localSheetId="12" hidden="1">'P&amp;L.prior'!#REF!</definedName>
    <definedName name="QB_COLUMN_162201" localSheetId="10" hidden="1">'BS by month'!#REF!</definedName>
    <definedName name="QB_COLUMN_162201" localSheetId="13" hidden="1">'P&amp;L.by month'!#REF!</definedName>
    <definedName name="QB_COLUMN_162201" localSheetId="11" hidden="1">'P&amp;L.current'!$BF$3</definedName>
    <definedName name="QB_COLUMN_162201" localSheetId="12" hidden="1">'P&amp;L.prior'!#REF!</definedName>
    <definedName name="QB_COLUMN_163101" localSheetId="10" hidden="1">'BS by month'!#REF!</definedName>
    <definedName name="QB_COLUMN_163101" localSheetId="13" hidden="1">'P&amp;L.by month'!#REF!</definedName>
    <definedName name="QB_COLUMN_163101" localSheetId="11" hidden="1">'P&amp;L.current'!$BG$3</definedName>
    <definedName name="QB_COLUMN_163101" localSheetId="12" hidden="1">'P&amp;L.prior'!#REF!</definedName>
    <definedName name="QB_COLUMN_173200" localSheetId="10" hidden="1">'BS by month'!$AC$2</definedName>
    <definedName name="QB_COLUMN_173200" localSheetId="13" hidden="1">'P&amp;L.by month'!$AC$2</definedName>
    <definedName name="QB_COLUMN_173200" localSheetId="11" hidden="1">'P&amp;L.current'!$AC$2</definedName>
    <definedName name="QB_COLUMN_173200" localSheetId="12" hidden="1">'P&amp;L.prior'!$AC$2</definedName>
    <definedName name="QB_COLUMN_173201" localSheetId="10" hidden="1">'BS by month'!$AC$3</definedName>
    <definedName name="QB_COLUMN_173201" localSheetId="13" hidden="1">'P&amp;L.by month'!$AC$3</definedName>
    <definedName name="QB_COLUMN_173201" localSheetId="11" hidden="1">'P&amp;L.current'!$AC$3</definedName>
    <definedName name="QB_COLUMN_173201" localSheetId="12" hidden="1">'P&amp;L.prior'!$AC$3</definedName>
    <definedName name="QB_COLUMN_22200" localSheetId="10" hidden="1">'BS by month'!#REF!</definedName>
    <definedName name="QB_COLUMN_22200" localSheetId="13" hidden="1">'P&amp;L.by month'!#REF!</definedName>
    <definedName name="QB_COLUMN_22200" localSheetId="11" hidden="1">'P&amp;L.current'!$AW$2</definedName>
    <definedName name="QB_COLUMN_22200" localSheetId="12" hidden="1">'P&amp;L.prior'!#REF!</definedName>
    <definedName name="QB_COLUMN_22201" localSheetId="10" hidden="1">'BS by month'!#REF!</definedName>
    <definedName name="QB_COLUMN_22201" localSheetId="13" hidden="1">'P&amp;L.by month'!#REF!</definedName>
    <definedName name="QB_COLUMN_22201" localSheetId="11" hidden="1">'P&amp;L.current'!$AW$3</definedName>
    <definedName name="QB_COLUMN_22201" localSheetId="12" hidden="1">'P&amp;L.prior'!#REF!</definedName>
    <definedName name="QB_COLUMN_23101" localSheetId="10" hidden="1">'BS by month'!#REF!</definedName>
    <definedName name="QB_COLUMN_23101" localSheetId="13" hidden="1">'P&amp;L.by month'!#REF!</definedName>
    <definedName name="QB_COLUMN_23101" localSheetId="11" hidden="1">'P&amp;L.current'!$AX$3</definedName>
    <definedName name="QB_COLUMN_23101" localSheetId="12" hidden="1">'P&amp;L.prior'!#REF!</definedName>
    <definedName name="QB_COLUMN_282200" localSheetId="10" hidden="1">'BS by month'!$AE$2</definedName>
    <definedName name="QB_COLUMN_282200" localSheetId="13" hidden="1">'P&amp;L.by month'!$AE$2</definedName>
    <definedName name="QB_COLUMN_282200" localSheetId="11" hidden="1">'P&amp;L.current'!$AE$2</definedName>
    <definedName name="QB_COLUMN_282200" localSheetId="12" hidden="1">'P&amp;L.prior'!$AE$2</definedName>
    <definedName name="QB_COLUMN_282201" localSheetId="10" hidden="1">'BS by month'!$AE$3</definedName>
    <definedName name="QB_COLUMN_282201" localSheetId="13" hidden="1">'P&amp;L.by month'!$AE$3</definedName>
    <definedName name="QB_COLUMN_282201" localSheetId="11" hidden="1">'P&amp;L.current'!$AE$3</definedName>
    <definedName name="QB_COLUMN_282201" localSheetId="12" hidden="1">'P&amp;L.prior'!$AE$3</definedName>
    <definedName name="QB_COLUMN_283101" localSheetId="10" hidden="1">'BS by month'!$AF$3</definedName>
    <definedName name="QB_COLUMN_283101" localSheetId="13" hidden="1">'P&amp;L.by month'!$AF$3</definedName>
    <definedName name="QB_COLUMN_283101" localSheetId="11" hidden="1">'P&amp;L.current'!$AF$3</definedName>
    <definedName name="QB_COLUMN_283101" localSheetId="12" hidden="1">'P&amp;L.prior'!$AF$3</definedName>
    <definedName name="QB_COLUMN_29" localSheetId="7" hidden="1">BS.current!$J$3</definedName>
    <definedName name="QB_COLUMN_29" localSheetId="9" hidden="1">'BS.multi year'!$J$3</definedName>
    <definedName name="QB_COLUMN_29" localSheetId="8" hidden="1">BS.prior!$J$3</definedName>
    <definedName name="QB_COLUMN_322200" localSheetId="10" hidden="1">'BS by month'!$Z$2</definedName>
    <definedName name="QB_COLUMN_322200" localSheetId="13" hidden="1">'P&amp;L.by month'!$Z$2</definedName>
    <definedName name="QB_COLUMN_322200" localSheetId="11" hidden="1">'P&amp;L.current'!$Z$2</definedName>
    <definedName name="QB_COLUMN_322200" localSheetId="12" hidden="1">'P&amp;L.prior'!$Z$2</definedName>
    <definedName name="QB_COLUMN_322201" localSheetId="10" hidden="1">'BS by month'!$Z$3</definedName>
    <definedName name="QB_COLUMN_322201" localSheetId="13" hidden="1">'P&amp;L.by month'!$Z$3</definedName>
    <definedName name="QB_COLUMN_322201" localSheetId="11" hidden="1">'P&amp;L.current'!$Z$3</definedName>
    <definedName name="QB_COLUMN_322201" localSheetId="12" hidden="1">'P&amp;L.prior'!$Z$3</definedName>
    <definedName name="QB_COLUMN_343200" localSheetId="10" hidden="1">'BS by month'!$O$2</definedName>
    <definedName name="QB_COLUMN_343200" localSheetId="13" hidden="1">'P&amp;L.by month'!$O$2</definedName>
    <definedName name="QB_COLUMN_343200" localSheetId="11" hidden="1">'P&amp;L.current'!$O$2</definedName>
    <definedName name="QB_COLUMN_343200" localSheetId="12" hidden="1">'P&amp;L.prior'!$O$2</definedName>
    <definedName name="QB_COLUMN_343201" localSheetId="10" hidden="1">'BS by month'!$O$3</definedName>
    <definedName name="QB_COLUMN_343201" localSheetId="13" hidden="1">'P&amp;L.by month'!$O$3</definedName>
    <definedName name="QB_COLUMN_343201" localSheetId="11" hidden="1">'P&amp;L.current'!$O$3</definedName>
    <definedName name="QB_COLUMN_343201" localSheetId="12" hidden="1">'P&amp;L.prior'!$O$3</definedName>
    <definedName name="QB_COLUMN_372101" localSheetId="10" hidden="1">'BS by month'!$K$3</definedName>
    <definedName name="QB_COLUMN_372101" localSheetId="13" hidden="1">'P&amp;L.by month'!$K$3</definedName>
    <definedName name="QB_COLUMN_372101" localSheetId="11" hidden="1">'P&amp;L.current'!$K$3</definedName>
    <definedName name="QB_COLUMN_372101" localSheetId="12" hidden="1">'P&amp;L.prior'!$K$3</definedName>
    <definedName name="QB_COLUMN_383200" localSheetId="10" hidden="1">'BS by month'!$AD$2</definedName>
    <definedName name="QB_COLUMN_383200" localSheetId="13" hidden="1">'P&amp;L.by month'!$AD$2</definedName>
    <definedName name="QB_COLUMN_383200" localSheetId="11" hidden="1">'P&amp;L.current'!$AD$2</definedName>
    <definedName name="QB_COLUMN_383200" localSheetId="12" hidden="1">'P&amp;L.prior'!$AD$2</definedName>
    <definedName name="QB_COLUMN_383201" localSheetId="10" hidden="1">'BS by month'!$AD$3</definedName>
    <definedName name="QB_COLUMN_383201" localSheetId="13" hidden="1">'P&amp;L.by month'!$AD$3</definedName>
    <definedName name="QB_COLUMN_383201" localSheetId="11" hidden="1">'P&amp;L.current'!$AD$3</definedName>
    <definedName name="QB_COLUMN_383201" localSheetId="12" hidden="1">'P&amp;L.prior'!$AD$3</definedName>
    <definedName name="QB_COLUMN_392200" localSheetId="10" hidden="1">'BS by month'!#REF!</definedName>
    <definedName name="QB_COLUMN_392200" localSheetId="13" hidden="1">'P&amp;L.by month'!#REF!</definedName>
    <definedName name="QB_COLUMN_392200" localSheetId="11" hidden="1">'P&amp;L.current'!$BC$2</definedName>
    <definedName name="QB_COLUMN_392200" localSheetId="12" hidden="1">'P&amp;L.prior'!#REF!</definedName>
    <definedName name="QB_COLUMN_392201" localSheetId="10" hidden="1">'BS by month'!#REF!</definedName>
    <definedName name="QB_COLUMN_392201" localSheetId="13" hidden="1">'P&amp;L.by month'!#REF!</definedName>
    <definedName name="QB_COLUMN_392201" localSheetId="11" hidden="1">'P&amp;L.current'!$BC$3</definedName>
    <definedName name="QB_COLUMN_392201" localSheetId="12" hidden="1">'P&amp;L.prior'!#REF!</definedName>
    <definedName name="QB_COLUMN_412200" localSheetId="10" hidden="1">'BS by month'!$X$2</definedName>
    <definedName name="QB_COLUMN_412200" localSheetId="13" hidden="1">'P&amp;L.by month'!$X$2</definedName>
    <definedName name="QB_COLUMN_412200" localSheetId="11" hidden="1">'P&amp;L.current'!$X$2</definedName>
    <definedName name="QB_COLUMN_412200" localSheetId="12" hidden="1">'P&amp;L.prior'!$X$2</definedName>
    <definedName name="QB_COLUMN_412201" localSheetId="10" hidden="1">'BS by month'!$X$3</definedName>
    <definedName name="QB_COLUMN_412201" localSheetId="13" hidden="1">'P&amp;L.by month'!$X$3</definedName>
    <definedName name="QB_COLUMN_412201" localSheetId="11" hidden="1">'P&amp;L.current'!$X$3</definedName>
    <definedName name="QB_COLUMN_412201" localSheetId="12" hidden="1">'P&amp;L.prior'!$X$3</definedName>
    <definedName name="QB_COLUMN_413101" localSheetId="10" hidden="1">'BS by month'!$Y$3</definedName>
    <definedName name="QB_COLUMN_413101" localSheetId="13" hidden="1">'P&amp;L.by month'!$Y$3</definedName>
    <definedName name="QB_COLUMN_413101" localSheetId="11" hidden="1">'P&amp;L.current'!$Y$3</definedName>
    <definedName name="QB_COLUMN_413101" localSheetId="12" hidden="1">'P&amp;L.prior'!$Y$3</definedName>
    <definedName name="QB_COLUMN_422200" localSheetId="10" hidden="1">'BS by month'!#REF!</definedName>
    <definedName name="QB_COLUMN_422200" localSheetId="13" hidden="1">'P&amp;L.by month'!#REF!</definedName>
    <definedName name="QB_COLUMN_422200" localSheetId="11" hidden="1">'P&amp;L.current'!$AY$2</definedName>
    <definedName name="QB_COLUMN_422200" localSheetId="12" hidden="1">'P&amp;L.prior'!#REF!</definedName>
    <definedName name="QB_COLUMN_422201" localSheetId="10" hidden="1">'BS by month'!#REF!</definedName>
    <definedName name="QB_COLUMN_422201" localSheetId="13" hidden="1">'P&amp;L.by month'!#REF!</definedName>
    <definedName name="QB_COLUMN_422201" localSheetId="11" hidden="1">'P&amp;L.current'!$AY$3</definedName>
    <definedName name="QB_COLUMN_422201" localSheetId="12" hidden="1">'P&amp;L.prior'!#REF!</definedName>
    <definedName name="QB_COLUMN_423011" localSheetId="10" hidden="1">'BS by month'!#REF!</definedName>
    <definedName name="QB_COLUMN_423011" localSheetId="13" hidden="1">'P&amp;L.by month'!#REF!</definedName>
    <definedName name="QB_COLUMN_423011" localSheetId="11" hidden="1">'P&amp;L.current'!$BI$3</definedName>
    <definedName name="QB_COLUMN_423011" localSheetId="12" hidden="1">'P&amp;L.prior'!#REF!</definedName>
    <definedName name="QB_COLUMN_43101" localSheetId="10" hidden="1">'BS by month'!#REF!</definedName>
    <definedName name="QB_COLUMN_43101" localSheetId="13" hidden="1">'P&amp;L.by month'!#REF!</definedName>
    <definedName name="QB_COLUMN_43101" localSheetId="11" hidden="1">'P&amp;L.current'!$AZ$3</definedName>
    <definedName name="QB_COLUMN_43101" localSheetId="12" hidden="1">'P&amp;L.prior'!#REF!</definedName>
    <definedName name="QB_COLUMN_442200" localSheetId="10" hidden="1">'BS by month'!$AA$2</definedName>
    <definedName name="QB_COLUMN_442200" localSheetId="13" hidden="1">'P&amp;L.by month'!$AA$2</definedName>
    <definedName name="QB_COLUMN_442200" localSheetId="11" hidden="1">'P&amp;L.current'!$AA$2</definedName>
    <definedName name="QB_COLUMN_442200" localSheetId="12" hidden="1">'P&amp;L.prior'!$AA$2</definedName>
    <definedName name="QB_COLUMN_442201" localSheetId="10" hidden="1">'BS by month'!$AA$3</definedName>
    <definedName name="QB_COLUMN_442201" localSheetId="13" hidden="1">'P&amp;L.by month'!$AA$3</definedName>
    <definedName name="QB_COLUMN_442201" localSheetId="11" hidden="1">'P&amp;L.current'!$AA$3</definedName>
    <definedName name="QB_COLUMN_442201" localSheetId="12" hidden="1">'P&amp;L.prior'!$AA$3</definedName>
    <definedName name="QB_COLUMN_443101" localSheetId="10" hidden="1">'BS by month'!$AB$3</definedName>
    <definedName name="QB_COLUMN_443101" localSheetId="13" hidden="1">'P&amp;L.by month'!$AB$3</definedName>
    <definedName name="QB_COLUMN_443101" localSheetId="11" hidden="1">'P&amp;L.current'!$AB$3</definedName>
    <definedName name="QB_COLUMN_443101" localSheetId="12" hidden="1">'P&amp;L.prior'!$AB$3</definedName>
    <definedName name="QB_COLUMN_452111" localSheetId="10" hidden="1">'BS by month'!#REF!</definedName>
    <definedName name="QB_COLUMN_452111" localSheetId="13" hidden="1">'P&amp;L.by month'!#REF!</definedName>
    <definedName name="QB_COLUMN_452111" localSheetId="11" hidden="1">'P&amp;L.current'!$BH$3</definedName>
    <definedName name="QB_COLUMN_452111" localSheetId="12" hidden="1">'P&amp;L.prior'!#REF!</definedName>
    <definedName name="QB_COLUMN_452200" localSheetId="10" hidden="1">'BS by month'!#REF!</definedName>
    <definedName name="QB_COLUMN_452200" localSheetId="13" hidden="1">'P&amp;L.by month'!#REF!</definedName>
    <definedName name="QB_COLUMN_452200" localSheetId="11" hidden="1">'P&amp;L.current'!$AT$2</definedName>
    <definedName name="QB_COLUMN_452200" localSheetId="12" hidden="1">'P&amp;L.prior'!#REF!</definedName>
    <definedName name="QB_COLUMN_452201" localSheetId="10" hidden="1">'BS by month'!#REF!</definedName>
    <definedName name="QB_COLUMN_452201" localSheetId="13" hidden="1">'P&amp;L.by month'!#REF!</definedName>
    <definedName name="QB_COLUMN_452201" localSheetId="11" hidden="1">'P&amp;L.current'!$AT$3</definedName>
    <definedName name="QB_COLUMN_452201" localSheetId="12" hidden="1">'P&amp;L.prior'!#REF!</definedName>
    <definedName name="QB_COLUMN_462200" localSheetId="10" hidden="1">'BS by month'!#REF!</definedName>
    <definedName name="QB_COLUMN_462200" localSheetId="13" hidden="1">'P&amp;L.by month'!#REF!</definedName>
    <definedName name="QB_COLUMN_462200" localSheetId="11" hidden="1">'P&amp;L.current'!$BE$2</definedName>
    <definedName name="QB_COLUMN_462200" localSheetId="12" hidden="1">'P&amp;L.prior'!#REF!</definedName>
    <definedName name="QB_COLUMN_462201" localSheetId="10" hidden="1">'BS by month'!#REF!</definedName>
    <definedName name="QB_COLUMN_462201" localSheetId="13" hidden="1">'P&amp;L.by month'!#REF!</definedName>
    <definedName name="QB_COLUMN_462201" localSheetId="11" hidden="1">'P&amp;L.current'!$BE$3</definedName>
    <definedName name="QB_COLUMN_462201" localSheetId="12" hidden="1">'P&amp;L.prior'!#REF!</definedName>
    <definedName name="QB_COLUMN_472200" localSheetId="10" hidden="1">'BS by month'!#REF!</definedName>
    <definedName name="QB_COLUMN_472200" localSheetId="13" hidden="1">'P&amp;L.by month'!#REF!</definedName>
    <definedName name="QB_COLUMN_472200" localSheetId="11" hidden="1">'P&amp;L.current'!$AV$2</definedName>
    <definedName name="QB_COLUMN_472200" localSheetId="12" hidden="1">'P&amp;L.prior'!#REF!</definedName>
    <definedName name="QB_COLUMN_472201" localSheetId="10" hidden="1">'BS by month'!#REF!</definedName>
    <definedName name="QB_COLUMN_472201" localSheetId="13" hidden="1">'P&amp;L.by month'!#REF!</definedName>
    <definedName name="QB_COLUMN_472201" localSheetId="11" hidden="1">'P&amp;L.current'!$AV$3</definedName>
    <definedName name="QB_COLUMN_472201" localSheetId="12" hidden="1">'P&amp;L.prior'!#REF!</definedName>
    <definedName name="QB_COLUMN_482200" localSheetId="10" hidden="1">'BS by month'!#REF!</definedName>
    <definedName name="QB_COLUMN_482200" localSheetId="13" hidden="1">'P&amp;L.by month'!#REF!</definedName>
    <definedName name="QB_COLUMN_482200" localSheetId="11" hidden="1">'P&amp;L.current'!$BD$2</definedName>
    <definedName name="QB_COLUMN_482200" localSheetId="12" hidden="1">'P&amp;L.prior'!#REF!</definedName>
    <definedName name="QB_COLUMN_482201" localSheetId="10" hidden="1">'BS by month'!#REF!</definedName>
    <definedName name="QB_COLUMN_482201" localSheetId="13" hidden="1">'P&amp;L.by month'!#REF!</definedName>
    <definedName name="QB_COLUMN_482201" localSheetId="11" hidden="1">'P&amp;L.current'!$BD$3</definedName>
    <definedName name="QB_COLUMN_482201" localSheetId="12" hidden="1">'P&amp;L.prior'!#REF!</definedName>
    <definedName name="QB_COLUMN_492200" localSheetId="10" hidden="1">'BS by month'!#REF!</definedName>
    <definedName name="QB_COLUMN_492200" localSheetId="13" hidden="1">'P&amp;L.by month'!#REF!</definedName>
    <definedName name="QB_COLUMN_492200" localSheetId="11" hidden="1">'P&amp;L.current'!$AQ$2</definedName>
    <definedName name="QB_COLUMN_492200" localSheetId="12" hidden="1">'P&amp;L.prior'!#REF!</definedName>
    <definedName name="QB_COLUMN_492201" localSheetId="10" hidden="1">'BS by month'!#REF!</definedName>
    <definedName name="QB_COLUMN_492201" localSheetId="13" hidden="1">'P&amp;L.by month'!#REF!</definedName>
    <definedName name="QB_COLUMN_492201" localSheetId="11" hidden="1">'P&amp;L.current'!$AQ$3</definedName>
    <definedName name="QB_COLUMN_492201" localSheetId="12" hidden="1">'P&amp;L.prior'!#REF!</definedName>
    <definedName name="QB_COLUMN_493101" localSheetId="10" hidden="1">'BS by month'!#REF!</definedName>
    <definedName name="QB_COLUMN_493101" localSheetId="13" hidden="1">'P&amp;L.by month'!#REF!</definedName>
    <definedName name="QB_COLUMN_493101" localSheetId="11" hidden="1">'P&amp;L.current'!$AR$3</definedName>
    <definedName name="QB_COLUMN_493101" localSheetId="12" hidden="1">'P&amp;L.prior'!#REF!</definedName>
    <definedName name="QB_COLUMN_502200" localSheetId="10" hidden="1">'BS by month'!#REF!</definedName>
    <definedName name="QB_COLUMN_502200" localSheetId="13" hidden="1">'P&amp;L.by month'!#REF!</definedName>
    <definedName name="QB_COLUMN_502200" localSheetId="11" hidden="1">'P&amp;L.current'!$AU$2</definedName>
    <definedName name="QB_COLUMN_502200" localSheetId="12" hidden="1">'P&amp;L.prior'!#REF!</definedName>
    <definedName name="QB_COLUMN_502201" localSheetId="10" hidden="1">'BS by month'!#REF!</definedName>
    <definedName name="QB_COLUMN_502201" localSheetId="13" hidden="1">'P&amp;L.by month'!#REF!</definedName>
    <definedName name="QB_COLUMN_502201" localSheetId="11" hidden="1">'P&amp;L.current'!$AU$3</definedName>
    <definedName name="QB_COLUMN_502201" localSheetId="12" hidden="1">'P&amp;L.prior'!#REF!</definedName>
    <definedName name="QB_COLUMN_512200" localSheetId="10" hidden="1">'BS by month'!#REF!</definedName>
    <definedName name="QB_COLUMN_512200" localSheetId="13" hidden="1">'P&amp;L.by month'!#REF!</definedName>
    <definedName name="QB_COLUMN_512200" localSheetId="11" hidden="1">'P&amp;L.current'!$AS$2</definedName>
    <definedName name="QB_COLUMN_512200" localSheetId="12" hidden="1">'P&amp;L.prior'!#REF!</definedName>
    <definedName name="QB_COLUMN_512201" localSheetId="10" hidden="1">'BS by month'!#REF!</definedName>
    <definedName name="QB_COLUMN_512201" localSheetId="13" hidden="1">'P&amp;L.by month'!#REF!</definedName>
    <definedName name="QB_COLUMN_512201" localSheetId="11" hidden="1">'P&amp;L.current'!$AS$3</definedName>
    <definedName name="QB_COLUMN_512201" localSheetId="12" hidden="1">'P&amp;L.prior'!#REF!</definedName>
    <definedName name="QB_COLUMN_522200" localSheetId="10" hidden="1">'BS by month'!#REF!</definedName>
    <definedName name="QB_COLUMN_522200" localSheetId="13" hidden="1">'P&amp;L.by month'!#REF!</definedName>
    <definedName name="QB_COLUMN_522200" localSheetId="11" hidden="1">'P&amp;L.current'!$AN$2</definedName>
    <definedName name="QB_COLUMN_522200" localSheetId="12" hidden="1">'P&amp;L.prior'!#REF!</definedName>
    <definedName name="QB_COLUMN_522201" localSheetId="10" hidden="1">'BS by month'!#REF!</definedName>
    <definedName name="QB_COLUMN_522201" localSheetId="13" hidden="1">'P&amp;L.by month'!#REF!</definedName>
    <definedName name="QB_COLUMN_522201" localSheetId="11" hidden="1">'P&amp;L.current'!$AN$3</definedName>
    <definedName name="QB_COLUMN_522201" localSheetId="12" hidden="1">'P&amp;L.prior'!#REF!</definedName>
    <definedName name="QB_COLUMN_532200" localSheetId="10" hidden="1">'BS by month'!$P$2</definedName>
    <definedName name="QB_COLUMN_532200" localSheetId="13" hidden="1">'P&amp;L.by month'!$P$2</definedName>
    <definedName name="QB_COLUMN_532200" localSheetId="11" hidden="1">'P&amp;L.current'!$P$2</definedName>
    <definedName name="QB_COLUMN_532200" localSheetId="12" hidden="1">'P&amp;L.prior'!$P$2</definedName>
    <definedName name="QB_COLUMN_532201" localSheetId="10" hidden="1">'BS by month'!$P$3</definedName>
    <definedName name="QB_COLUMN_532201" localSheetId="13" hidden="1">'P&amp;L.by month'!$P$3</definedName>
    <definedName name="QB_COLUMN_532201" localSheetId="11" hidden="1">'P&amp;L.current'!$P$3</definedName>
    <definedName name="QB_COLUMN_532201" localSheetId="12" hidden="1">'P&amp;L.prior'!$P$3</definedName>
    <definedName name="QB_COLUMN_542200" localSheetId="10" hidden="1">'BS by month'!$N$2</definedName>
    <definedName name="QB_COLUMN_542200" localSheetId="13" hidden="1">'P&amp;L.by month'!$N$2</definedName>
    <definedName name="QB_COLUMN_542200" localSheetId="11" hidden="1">'P&amp;L.current'!$N$2</definedName>
    <definedName name="QB_COLUMN_542200" localSheetId="12" hidden="1">'P&amp;L.prior'!$N$2</definedName>
    <definedName name="QB_COLUMN_542201" localSheetId="10" hidden="1">'BS by month'!$N$3</definedName>
    <definedName name="QB_COLUMN_542201" localSheetId="13" hidden="1">'P&amp;L.by month'!$N$3</definedName>
    <definedName name="QB_COLUMN_542201" localSheetId="11" hidden="1">'P&amp;L.current'!$N$3</definedName>
    <definedName name="QB_COLUMN_542201" localSheetId="12" hidden="1">'P&amp;L.prior'!$N$3</definedName>
    <definedName name="QB_COLUMN_632200" localSheetId="10" hidden="1">'BS by month'!#REF!</definedName>
    <definedName name="QB_COLUMN_632200" localSheetId="13" hidden="1">'P&amp;L.by month'!#REF!</definedName>
    <definedName name="QB_COLUMN_632200" localSheetId="11" hidden="1">'P&amp;L.current'!$AP$2</definedName>
    <definedName name="QB_COLUMN_632200" localSheetId="12" hidden="1">'P&amp;L.prior'!#REF!</definedName>
    <definedName name="QB_COLUMN_632201" localSheetId="10" hidden="1">'BS by month'!#REF!</definedName>
    <definedName name="QB_COLUMN_632201" localSheetId="13" hidden="1">'P&amp;L.by month'!#REF!</definedName>
    <definedName name="QB_COLUMN_632201" localSheetId="11" hidden="1">'P&amp;L.current'!$AP$3</definedName>
    <definedName name="QB_COLUMN_632201" localSheetId="12" hidden="1">'P&amp;L.prior'!#REF!</definedName>
    <definedName name="QB_COLUMN_822300" localSheetId="10" hidden="1">'BS by month'!$V$2</definedName>
    <definedName name="QB_COLUMN_822300" localSheetId="13" hidden="1">'P&amp;L.by month'!$V$2</definedName>
    <definedName name="QB_COLUMN_822300" localSheetId="11" hidden="1">'P&amp;L.current'!$V$2</definedName>
    <definedName name="QB_COLUMN_822300" localSheetId="12" hidden="1">'P&amp;L.prior'!$V$2</definedName>
    <definedName name="QB_COLUMN_822301" localSheetId="10" hidden="1">'BS by month'!$V$3</definedName>
    <definedName name="QB_COLUMN_822301" localSheetId="13" hidden="1">'P&amp;L.by month'!$V$3</definedName>
    <definedName name="QB_COLUMN_822301" localSheetId="11" hidden="1">'P&amp;L.current'!$V$3</definedName>
    <definedName name="QB_COLUMN_822301" localSheetId="12" hidden="1">'P&amp;L.prior'!$V$3</definedName>
    <definedName name="QB_COLUMN_823200" localSheetId="10" hidden="1">'BS by month'!$W$2</definedName>
    <definedName name="QB_COLUMN_823200" localSheetId="13" hidden="1">'P&amp;L.by month'!$W$2</definedName>
    <definedName name="QB_COLUMN_823200" localSheetId="11" hidden="1">'P&amp;L.current'!$W$2</definedName>
    <definedName name="QB_COLUMN_823200" localSheetId="12" hidden="1">'P&amp;L.prior'!$W$2</definedName>
    <definedName name="QB_COLUMN_823201" localSheetId="10" hidden="1">'BS by month'!$W$3</definedName>
    <definedName name="QB_COLUMN_823201" localSheetId="13" hidden="1">'P&amp;L.by month'!$W$3</definedName>
    <definedName name="QB_COLUMN_823201" localSheetId="11" hidden="1">'P&amp;L.current'!$W$3</definedName>
    <definedName name="QB_COLUMN_823201" localSheetId="12" hidden="1">'P&amp;L.prior'!$W$3</definedName>
    <definedName name="QB_COLUMN_832300" localSheetId="10" hidden="1">'BS by month'!$U$2</definedName>
    <definedName name="QB_COLUMN_832300" localSheetId="13" hidden="1">'P&amp;L.by month'!$U$2</definedName>
    <definedName name="QB_COLUMN_832300" localSheetId="11" hidden="1">'P&amp;L.current'!$U$2</definedName>
    <definedName name="QB_COLUMN_832300" localSheetId="12" hidden="1">'P&amp;L.prior'!$U$2</definedName>
    <definedName name="QB_COLUMN_832301" localSheetId="10" hidden="1">'BS by month'!$U$3</definedName>
    <definedName name="QB_COLUMN_832301" localSheetId="13" hidden="1">'P&amp;L.by month'!$U$3</definedName>
    <definedName name="QB_COLUMN_832301" localSheetId="11" hidden="1">'P&amp;L.current'!$U$3</definedName>
    <definedName name="QB_COLUMN_832301" localSheetId="12" hidden="1">'P&amp;L.prior'!$U$3</definedName>
    <definedName name="QB_COLUMN_882200" localSheetId="10" hidden="1">'BS by month'!#REF!</definedName>
    <definedName name="QB_COLUMN_882200" localSheetId="13" hidden="1">'P&amp;L.by month'!#REF!</definedName>
    <definedName name="QB_COLUMN_882200" localSheetId="11" hidden="1">'P&amp;L.current'!$AO$2</definedName>
    <definedName name="QB_COLUMN_882200" localSheetId="12" hidden="1">'P&amp;L.prior'!#REF!</definedName>
    <definedName name="QB_COLUMN_882201" localSheetId="10" hidden="1">'BS by month'!#REF!</definedName>
    <definedName name="QB_COLUMN_882201" localSheetId="13" hidden="1">'P&amp;L.by month'!#REF!</definedName>
    <definedName name="QB_COLUMN_882201" localSheetId="11" hidden="1">'P&amp;L.current'!$AO$3</definedName>
    <definedName name="QB_COLUMN_882201" localSheetId="12" hidden="1">'P&amp;L.prior'!#REF!</definedName>
    <definedName name="QB_COLUMN_892101" localSheetId="10" hidden="1">'BS by month'!$J$3</definedName>
    <definedName name="QB_COLUMN_892101" localSheetId="13" hidden="1">'P&amp;L.by month'!$J$3</definedName>
    <definedName name="QB_COLUMN_892101" localSheetId="11" hidden="1">'P&amp;L.current'!$J$3</definedName>
    <definedName name="QB_COLUMN_892101" localSheetId="12" hidden="1">'P&amp;L.prior'!$J$3</definedName>
    <definedName name="QB_COLUMN_952200" localSheetId="10" hidden="1">'BS by month'!$AL$2</definedName>
    <definedName name="QB_COLUMN_952200" localSheetId="13" hidden="1">'P&amp;L.by month'!$AL$2</definedName>
    <definedName name="QB_COLUMN_952200" localSheetId="11" hidden="1">'P&amp;L.current'!$AL$2</definedName>
    <definedName name="QB_COLUMN_952200" localSheetId="12" hidden="1">'P&amp;L.prior'!$AL$2</definedName>
    <definedName name="QB_COLUMN_952201" localSheetId="10" hidden="1">'BS by month'!$AL$3</definedName>
    <definedName name="QB_COLUMN_952201" localSheetId="13" hidden="1">'P&amp;L.by month'!$AL$3</definedName>
    <definedName name="QB_COLUMN_952201" localSheetId="11" hidden="1">'P&amp;L.current'!$AL$3</definedName>
    <definedName name="QB_COLUMN_952201" localSheetId="12" hidden="1">'P&amp;L.prior'!$AL$3</definedName>
    <definedName name="QB_COLUMN_992200" localSheetId="10" hidden="1">'BS by month'!#REF!</definedName>
    <definedName name="QB_COLUMN_992200" localSheetId="13" hidden="1">'P&amp;L.by month'!#REF!</definedName>
    <definedName name="QB_COLUMN_992200" localSheetId="11" hidden="1">'P&amp;L.current'!$BB$2</definedName>
    <definedName name="QB_COLUMN_992200" localSheetId="12" hidden="1">'P&amp;L.prior'!#REF!</definedName>
    <definedName name="QB_COLUMN_992201" localSheetId="10" hidden="1">'BS by month'!#REF!</definedName>
    <definedName name="QB_COLUMN_992201" localSheetId="13" hidden="1">'P&amp;L.by month'!#REF!</definedName>
    <definedName name="QB_COLUMN_992201" localSheetId="11" hidden="1">'P&amp;L.current'!$BB$3</definedName>
    <definedName name="QB_COLUMN_992201" localSheetId="12" hidden="1">'P&amp;L.prior'!#REF!</definedName>
    <definedName name="QB_DATA_0" localSheetId="10" hidden="1">'BS by month'!$7:$7,'BS by month'!$8:$8,'BS by month'!$9:$9,'BS by month'!$12:$12,'BS by month'!$13:$13,'BS by month'!$15:$15,'BS by month'!$16:$16,'BS by month'!$17:$17,'BS by month'!$19:$19,'BS by month'!$20:$20,'BS by month'!$23:$23,'BS by month'!$24:$24,'BS by month'!$25:$25,'BS by month'!$27:$27,'BS by month'!$29:$29,'BS by month'!$31:$31</definedName>
    <definedName name="QB_DATA_0" localSheetId="7" hidden="1">BS.current!$8:$8,BS.current!$9:$9,BS.current!$10:$10,BS.current!$11:$11,BS.current!$14:$14,BS.current!$15:$15,BS.current!$20:$20,BS.current!$21:$21,BS.current!$25:$25,BS.current!$26:$26,BS.current!$27:$27,BS.current!$29:$29,BS.current!$31:$31,BS.current!$37:$37,BS.current!$38:$38,BS.current!$39:$39</definedName>
    <definedName name="QB_DATA_0" localSheetId="9" hidden="1">'BS.multi year'!$8:$8,'BS.multi year'!$9:$9,'BS.multi year'!$10:$10,'BS.multi year'!$11:$11,'BS.multi year'!$14:$14,'BS.multi year'!$15:$15,'BS.multi year'!$20:$20,'BS.multi year'!$21:$21,'BS.multi year'!$26:$26,'BS.multi year'!$28:$28,'BS.multi year'!$29:$29,'BS.multi year'!$31:$31,'BS.multi year'!$33:$33,'BS.multi year'!$39:$39,'BS.multi year'!$40:$40,'BS.multi year'!$41:$41</definedName>
    <definedName name="QB_DATA_0" localSheetId="8" hidden="1">BS.prior!$8:$8,BS.prior!$9:$9,BS.prior!$10:$10,BS.prior!$11:$11,BS.prior!$14:$14,BS.prior!$15:$15,BS.prior!$20:$20,BS.prior!$21:$21,BS.prior!$26:$26,BS.prior!$28:$28,BS.prior!$29:$29,BS.prior!$31:$31,BS.prior!$33:$33,BS.prior!$39:$39,BS.prior!$40:$40,BS.prior!$41:$41</definedName>
    <definedName name="QB_DATA_0" localSheetId="13" hidden="1">'P&amp;L.by month'!$7:$7,'P&amp;L.by month'!$8:$8,'P&amp;L.by month'!$9:$9,'P&amp;L.by month'!$12:$12,'P&amp;L.by month'!$13:$13,'P&amp;L.by month'!$15:$15,'P&amp;L.by month'!$16:$16,'P&amp;L.by month'!$17:$17,'P&amp;L.by month'!$19:$19,'P&amp;L.by month'!$20:$20,'P&amp;L.by month'!$23:$23,'P&amp;L.by month'!$24:$24,'P&amp;L.by month'!$25:$25,'P&amp;L.by month'!$27:$27,'P&amp;L.by month'!$29:$29,'P&amp;L.by month'!$31:$31</definedName>
    <definedName name="QB_DATA_0" localSheetId="11" hidden="1">'P&amp;L.current'!$7:$7,'P&amp;L.current'!$8:$8,'P&amp;L.current'!$9:$9,'P&amp;L.current'!$12:$12,'P&amp;L.current'!$13:$13,'P&amp;L.current'!$15:$15,'P&amp;L.current'!$16:$16,'P&amp;L.current'!$17:$17,'P&amp;L.current'!$19:$19,'P&amp;L.current'!$20:$20,'P&amp;L.current'!$23:$23,'P&amp;L.current'!$24:$24,'P&amp;L.current'!$25:$25,'P&amp;L.current'!$27:$27,'P&amp;L.current'!$29:$29,'P&amp;L.current'!$31:$31</definedName>
    <definedName name="QB_DATA_0" localSheetId="12" hidden="1">'P&amp;L.prior'!$7:$7,'P&amp;L.prior'!$8:$8,'P&amp;L.prior'!$9:$9,'P&amp;L.prior'!$12:$12,'P&amp;L.prior'!$13:$13,'P&amp;L.prior'!$15:$15,'P&amp;L.prior'!$16:$16,'P&amp;L.prior'!$17:$17,'P&amp;L.prior'!$19:$19,'P&amp;L.prior'!$20:$20,'P&amp;L.prior'!$23:$23,'P&amp;L.prior'!$24:$24,'P&amp;L.prior'!$25:$25,'P&amp;L.prior'!$27:$27,'P&amp;L.prior'!$29:$29,'P&amp;L.prior'!$31:$31</definedName>
    <definedName name="QB_DATA_1" localSheetId="10" hidden="1">'BS by month'!$33:$33,'BS by month'!$36:$36,'BS by month'!$37:$37,'BS by month'!$41:$41,'BS by month'!$46:$46,'BS by month'!$47:$47,'BS by month'!$48:$48,'BS by month'!$51:$51,'BS by month'!$52:$52,'BS by month'!$53:$53,'BS by month'!$54:$54,'BS by month'!$55:$55,'BS by month'!$56:$56,'BS by month'!$57:$57,'BS by month'!$58:$58,'BS by month'!$59:$59</definedName>
    <definedName name="QB_DATA_1" localSheetId="7" hidden="1">BS.current!$40:$40,BS.current!$43:$43,BS.current!$44:$44,BS.current!$45:$45,BS.current!$46:$46,BS.current!$55:$55,BS.current!$60:$60,BS.current!$61:$61,BS.current!$62:$62,BS.current!$63:$63,BS.current!$69:$69,BS.current!$71:$71,BS.current!$73:$73,BS.current!$74:$74,BS.current!$80:$80,BS.current!$81:$81</definedName>
    <definedName name="QB_DATA_1" localSheetId="9" hidden="1">'BS.multi year'!$42:$42,'BS.multi year'!$45:$45,'BS.multi year'!$46:$46,'BS.multi year'!$47:$47,'BS.multi year'!$48:$48,'BS.multi year'!$57:$57,'BS.multi year'!$61:$61,'BS.multi year'!$66:$66,'BS.multi year'!$69:$69,'BS.multi year'!$75:$75,'BS.multi year'!$76:$76</definedName>
    <definedName name="QB_DATA_1" localSheetId="8" hidden="1">BS.prior!$42:$42,BS.prior!$45:$45,BS.prior!$46:$46,BS.prior!$47:$47,BS.prior!$48:$48,BS.prior!$57:$57,BS.prior!$61:$61,BS.prior!$66:$66,BS.prior!$69:$69,BS.prior!$75:$75,BS.prior!$76:$76</definedName>
    <definedName name="QB_DATA_1" localSheetId="13" hidden="1">'P&amp;L.by month'!$33:$33,'P&amp;L.by month'!$36:$36,'P&amp;L.by month'!$37:$37,'P&amp;L.by month'!$41:$41,'P&amp;L.by month'!$46:$46,'P&amp;L.by month'!$47:$47,'P&amp;L.by month'!$48:$48,'P&amp;L.by month'!$51:$51,'P&amp;L.by month'!$52:$52,'P&amp;L.by month'!$53:$53,'P&amp;L.by month'!$54:$54,'P&amp;L.by month'!$55:$55,'P&amp;L.by month'!$56:$56,'P&amp;L.by month'!$57:$57,'P&amp;L.by month'!$58:$58,'P&amp;L.by month'!$59:$59</definedName>
    <definedName name="QB_DATA_1" localSheetId="11" hidden="1">'P&amp;L.current'!$33:$33,'P&amp;L.current'!$36:$36,'P&amp;L.current'!$37:$37,'P&amp;L.current'!$41:$41,'P&amp;L.current'!$46:$46,'P&amp;L.current'!$47:$47,'P&amp;L.current'!$48:$48,'P&amp;L.current'!$51:$51,'P&amp;L.current'!$52:$52,'P&amp;L.current'!$53:$53,'P&amp;L.current'!$54:$54,'P&amp;L.current'!$55:$55,'P&amp;L.current'!$56:$56,'P&amp;L.current'!$57:$57,'P&amp;L.current'!$58:$58,'P&amp;L.current'!$59:$59</definedName>
    <definedName name="QB_DATA_1" localSheetId="12" hidden="1">'P&amp;L.prior'!$33:$33,'P&amp;L.prior'!$36:$36,'P&amp;L.prior'!$37:$37,'P&amp;L.prior'!$41:$41,'P&amp;L.prior'!$46:$46,'P&amp;L.prior'!$47:$47,'P&amp;L.prior'!$48:$48,'P&amp;L.prior'!$51:$51,'P&amp;L.prior'!$52:$52,'P&amp;L.prior'!$53:$53,'P&amp;L.prior'!$54:$54,'P&amp;L.prior'!$55:$55,'P&amp;L.prior'!$56:$56,'P&amp;L.prior'!$57:$57,'P&amp;L.prior'!$58:$58,'P&amp;L.prior'!$59:$59</definedName>
    <definedName name="QB_DATA_2" localSheetId="10" hidden="1">'BS by month'!$60:$60,'BS by month'!$63:$63,'BS by month'!$64:$64,'BS by month'!$65:$65,'BS by month'!$68:$68,'BS by month'!$69:$69,'BS by month'!$70:$70,'BS by month'!$73:$73,'BS by month'!$74:$74,'BS by month'!$75:$75,'BS by month'!$76:$76,'BS by month'!$77:$77,'BS by month'!$78:$78,'BS by month'!$79:$79,'BS by month'!$82:$82,'BS by month'!$83:$83</definedName>
    <definedName name="QB_DATA_2" localSheetId="7" hidden="1">BS.current!$82:$82</definedName>
    <definedName name="QB_DATA_2" localSheetId="13" hidden="1">'P&amp;L.by month'!$60:$60,'P&amp;L.by month'!$63:$63,'P&amp;L.by month'!$64:$64,'P&amp;L.by month'!$65:$65,'P&amp;L.by month'!$68:$68,'P&amp;L.by month'!$69:$69,'P&amp;L.by month'!$70:$70,'P&amp;L.by month'!$73:$73,'P&amp;L.by month'!$74:$74,'P&amp;L.by month'!$75:$75,'P&amp;L.by month'!$76:$76,'P&amp;L.by month'!$77:$77,'P&amp;L.by month'!$78:$78,'P&amp;L.by month'!$79:$79,'P&amp;L.by month'!$82:$82,'P&amp;L.by month'!$83:$83</definedName>
    <definedName name="QB_DATA_2" localSheetId="11" hidden="1">'P&amp;L.current'!$60:$60,'P&amp;L.current'!$63:$63,'P&amp;L.current'!$64:$64,'P&amp;L.current'!$65:$65,'P&amp;L.current'!$68:$68,'P&amp;L.current'!$69:$69,'P&amp;L.current'!$70:$70,'P&amp;L.current'!$73:$73,'P&amp;L.current'!$74:$74,'P&amp;L.current'!$75:$75,'P&amp;L.current'!$76:$76,'P&amp;L.current'!$77:$77,'P&amp;L.current'!$78:$78,'P&amp;L.current'!$79:$79,'P&amp;L.current'!$82:$82,'P&amp;L.current'!$83:$83</definedName>
    <definedName name="QB_DATA_2" localSheetId="12" hidden="1">'P&amp;L.prior'!$60:$60,'P&amp;L.prior'!$63:$63,'P&amp;L.prior'!$64:$64,'P&amp;L.prior'!$65:$65,'P&amp;L.prior'!$68:$68,'P&amp;L.prior'!$69:$69,'P&amp;L.prior'!$70:$70,'P&amp;L.prior'!$73:$73,'P&amp;L.prior'!$74:$74,'P&amp;L.prior'!$75:$75,'P&amp;L.prior'!$76:$76,'P&amp;L.prior'!$77:$77,'P&amp;L.prior'!$78:$78,'P&amp;L.prior'!$79:$79,'P&amp;L.prior'!$82:$82,'P&amp;L.prior'!$83:$83</definedName>
    <definedName name="QB_DATA_3" localSheetId="10" hidden="1">'BS by month'!$84:$84,'BS by month'!$85:$85,'BS by month'!$86:$86,'BS by month'!$87:$87,'BS by month'!$88:$88,'BS by month'!$89:$89,'BS by month'!$92:$92,'BS by month'!$93:$93,'BS by month'!$96:$96,'BS by month'!$97:$97,'BS by month'!$98:$98,'BS by month'!$99:$99,'BS by month'!$102:$102,'BS by month'!$103:$103,'BS by month'!$104:$104,'BS by month'!$105:$105</definedName>
    <definedName name="QB_DATA_3" localSheetId="13" hidden="1">'P&amp;L.by month'!$84:$84,'P&amp;L.by month'!$85:$85,'P&amp;L.by month'!$86:$86,'P&amp;L.by month'!$87:$87,'P&amp;L.by month'!$88:$88,'P&amp;L.by month'!$89:$89,'P&amp;L.by month'!$92:$92,'P&amp;L.by month'!$93:$93,'P&amp;L.by month'!$96:$96,'P&amp;L.by month'!$97:$97,'P&amp;L.by month'!$98:$98,'P&amp;L.by month'!$99:$99,'P&amp;L.by month'!$102:$102,'P&amp;L.by month'!$103:$103,'P&amp;L.by month'!$104:$104,'P&amp;L.by month'!$105:$105</definedName>
    <definedName name="QB_DATA_3" localSheetId="11" hidden="1">'P&amp;L.current'!$84:$84,'P&amp;L.current'!$85:$85,'P&amp;L.current'!$86:$86,'P&amp;L.current'!$87:$87,'P&amp;L.current'!$88:$88,'P&amp;L.current'!$89:$89,'P&amp;L.current'!$92:$92,'P&amp;L.current'!$93:$93,'P&amp;L.current'!$96:$96,'P&amp;L.current'!$97:$97,'P&amp;L.current'!$98:$98,'P&amp;L.current'!$99:$99,'P&amp;L.current'!$102:$102,'P&amp;L.current'!$103:$103,'P&amp;L.current'!$104:$104,'P&amp;L.current'!$105:$105</definedName>
    <definedName name="QB_DATA_3" localSheetId="12" hidden="1">'P&amp;L.prior'!$84:$84,'P&amp;L.prior'!$85:$85,'P&amp;L.prior'!$86:$86,'P&amp;L.prior'!$87:$87,'P&amp;L.prior'!$88:$88,'P&amp;L.prior'!$89:$89,'P&amp;L.prior'!$92:$92,'P&amp;L.prior'!$93:$93,'P&amp;L.prior'!$96:$96,'P&amp;L.prior'!$97:$97,'P&amp;L.prior'!$98:$98,'P&amp;L.prior'!$99:$99,'P&amp;L.prior'!$102:$102,'P&amp;L.prior'!$103:$103,'P&amp;L.prior'!$104:$104,'P&amp;L.prior'!$105:$105</definedName>
    <definedName name="QB_DATA_4" localSheetId="10" hidden="1">'BS by month'!$108:$108,'BS by month'!$111:$111,'BS by month'!$112:$112,'BS by month'!$115:$115,'BS by month'!$116:$116,'BS by month'!$119:$119,'BS by month'!$120:$120,'BS by month'!$121:$121,'BS by month'!$122:$122,'BS by month'!$123:$123,'BS by month'!$126:$126,'BS by month'!$127:$127,'BS by month'!$128:$128,'BS by month'!$129:$129,'BS by month'!$130:$130,'BS by month'!$131:$131</definedName>
    <definedName name="QB_DATA_4" localSheetId="13" hidden="1">'P&amp;L.by month'!$108:$108,'P&amp;L.by month'!$111:$111,'P&amp;L.by month'!$112:$112,'P&amp;L.by month'!$115:$115,'P&amp;L.by month'!$116:$116,'P&amp;L.by month'!$119:$119,'P&amp;L.by month'!$120:$120,'P&amp;L.by month'!$121:$121,'P&amp;L.by month'!$122:$122,'P&amp;L.by month'!$123:$123,'P&amp;L.by month'!$126:$126,'P&amp;L.by month'!$127:$127,'P&amp;L.by month'!$128:$128,'P&amp;L.by month'!$129:$129,'P&amp;L.by month'!$130:$130,'P&amp;L.by month'!$131:$131</definedName>
    <definedName name="QB_DATA_4" localSheetId="11" hidden="1">'P&amp;L.current'!$108:$108,'P&amp;L.current'!$111:$111,'P&amp;L.current'!$112:$112,'P&amp;L.current'!$115:$115,'P&amp;L.current'!$116:$116,'P&amp;L.current'!$119:$119,'P&amp;L.current'!$120:$120,'P&amp;L.current'!$121:$121,'P&amp;L.current'!$122:$122,'P&amp;L.current'!$123:$123,'P&amp;L.current'!$126:$126,'P&amp;L.current'!$127:$127,'P&amp;L.current'!$128:$128,'P&amp;L.current'!$129:$129,'P&amp;L.current'!$130:$130,'P&amp;L.current'!$131:$131</definedName>
    <definedName name="QB_DATA_4" localSheetId="12" hidden="1">'P&amp;L.prior'!$108:$108,'P&amp;L.prior'!$111:$111,'P&amp;L.prior'!$112:$112,'P&amp;L.prior'!$115:$115,'P&amp;L.prior'!$116:$116,'P&amp;L.prior'!$119:$119,'P&amp;L.prior'!$120:$120,'P&amp;L.prior'!$121:$121,'P&amp;L.prior'!$122:$122,'P&amp;L.prior'!$123:$123,'P&amp;L.prior'!$126:$126,'P&amp;L.prior'!$127:$127,'P&amp;L.prior'!$128:$128,'P&amp;L.prior'!$129:$129,'P&amp;L.prior'!$130:$130,'P&amp;L.prior'!$131:$131</definedName>
    <definedName name="QB_DATA_5" localSheetId="10" hidden="1">'BS by month'!$132:$132,'BS by month'!$133:$133,'BS by month'!$136:$136,'BS by month'!$137:$137,'BS by month'!$138:$138,'BS by month'!$141:$141,'BS by month'!$142:$142,'BS by month'!$143:$143,'BS by month'!$144:$144,'BS by month'!$147:$147,'BS by month'!$148:$148,'BS by month'!$149:$149,'BS by month'!$155:$155,'BS by month'!$156:$156</definedName>
    <definedName name="QB_DATA_5" localSheetId="13" hidden="1">'P&amp;L.by month'!$132:$132,'P&amp;L.by month'!$133:$133,'P&amp;L.by month'!$136:$136,'P&amp;L.by month'!$137:$137,'P&amp;L.by month'!$138:$138,'P&amp;L.by month'!$141:$141,'P&amp;L.by month'!$142:$142,'P&amp;L.by month'!$143:$143,'P&amp;L.by month'!$144:$144,'P&amp;L.by month'!$147:$147,'P&amp;L.by month'!$148:$148,'P&amp;L.by month'!$149:$149,'P&amp;L.by month'!$155:$155,'P&amp;L.by month'!$156:$156</definedName>
    <definedName name="QB_DATA_5" localSheetId="11" hidden="1">'P&amp;L.current'!$132:$132,'P&amp;L.current'!$133:$133,'P&amp;L.current'!$136:$136,'P&amp;L.current'!$137:$137,'P&amp;L.current'!$138:$138,'P&amp;L.current'!$141:$141,'P&amp;L.current'!$142:$142,'P&amp;L.current'!$143:$143,'P&amp;L.current'!$144:$144,'P&amp;L.current'!$147:$147,'P&amp;L.current'!$148:$148,'P&amp;L.current'!$149:$149,'P&amp;L.current'!$155:$155,'P&amp;L.current'!$156:$156</definedName>
    <definedName name="QB_DATA_5" localSheetId="12" hidden="1">'P&amp;L.prior'!$132:$132,'P&amp;L.prior'!$133:$133,'P&amp;L.prior'!$136:$136,'P&amp;L.prior'!$137:$137,'P&amp;L.prior'!$138:$138,'P&amp;L.prior'!$141:$141,'P&amp;L.prior'!$142:$142,'P&amp;L.prior'!$143:$143,'P&amp;L.prior'!$144:$144,'P&amp;L.prior'!$147:$147,'P&amp;L.prior'!$148:$148,'P&amp;L.prior'!$149:$149,'P&amp;L.prior'!$155:$155,'P&amp;L.prior'!$156:$156</definedName>
    <definedName name="QB_FORMULA_0" localSheetId="10" hidden="1">'BS by month'!$W$7,'BS by month'!$Y$7,'BS by month'!$AB$7,'BS by month'!$AF$7,'BS by month'!#REF!,'BS by month'!#REF!,'BS by month'!#REF!,'BS by month'!#REF!,'BS by month'!#REF!,'BS by month'!$W$8,'BS by month'!$Y$8,'BS by month'!$AB$8,'BS by month'!$AF$8,'BS by month'!#REF!,'BS by month'!#REF!,'BS by month'!#REF!</definedName>
    <definedName name="QB_FORMULA_0" localSheetId="7" hidden="1">BS.current!$J$12,BS.current!$J$16,BS.current!$J$17,BS.current!$J$22,BS.current!$J$23,BS.current!$J$30,BS.current!$J$32,BS.current!$J$33,BS.current!$J$41,BS.current!$J$47,BS.current!$J$48,BS.current!$J$49,BS.current!$J$50,BS.current!$J$56,BS.current!$J$64,BS.current!$J$65</definedName>
    <definedName name="QB_FORMULA_0" localSheetId="9" hidden="1">'BS.multi year'!$J$12,'BS.multi year'!$J$16,'BS.multi year'!$J$17,'BS.multi year'!$J$22,'BS.multi year'!$J$23,'BS.multi year'!$J$27,'BS.multi year'!$J$32,'BS.multi year'!$J$34,'BS.multi year'!$J$35,'BS.multi year'!$J$43,'BS.multi year'!$J$49,'BS.multi year'!$J$50,'BS.multi year'!#REF!,'BS.multi year'!#REF!,'BS.multi year'!#REF!,'BS.multi year'!$J$62</definedName>
    <definedName name="QB_FORMULA_0" localSheetId="8" hidden="1">BS.prior!$J$12,BS.prior!$J$16,BS.prior!$J$17,BS.prior!$J$22,BS.prior!$J$23,BS.prior!$J$27,BS.prior!$J$32,BS.prior!$J$34,BS.prior!$J$35,BS.prior!$J$43,BS.prior!$J$49,BS.prior!$J$50,BS.prior!$J$51,BS.prior!$J$52,BS.prior!$J$58,BS.prior!$J$62</definedName>
    <definedName name="QB_FORMULA_0" localSheetId="13" hidden="1">'P&amp;L.by month'!$W$7,'P&amp;L.by month'!$Y$7,'P&amp;L.by month'!$AB$7,'P&amp;L.by month'!$AF$7,'P&amp;L.by month'!#REF!,'P&amp;L.by month'!#REF!,'P&amp;L.by month'!#REF!,'P&amp;L.by month'!#REF!,'P&amp;L.by month'!#REF!,'P&amp;L.by month'!$W$8,'P&amp;L.by month'!$Y$8,'P&amp;L.by month'!$AB$8,'P&amp;L.by month'!$AF$8,'P&amp;L.by month'!#REF!,'P&amp;L.by month'!#REF!,'P&amp;L.by month'!#REF!</definedName>
    <definedName name="QB_FORMULA_0" localSheetId="11" hidden="1">'P&amp;L.current'!$W$7,'P&amp;L.current'!$Y$7,'P&amp;L.current'!$AB$7,'P&amp;L.current'!$AF$7,'P&amp;L.current'!$AR$7,'P&amp;L.current'!$AX$7,'P&amp;L.current'!$AZ$7,'P&amp;L.current'!$BG$7,'P&amp;L.current'!$BI$7,'P&amp;L.current'!$W$8,'P&amp;L.current'!$Y$8,'P&amp;L.current'!$AB$8,'P&amp;L.current'!$AF$8,'P&amp;L.current'!$AR$8,'P&amp;L.current'!$AX$8,'P&amp;L.current'!$AZ$8</definedName>
    <definedName name="QB_FORMULA_0" localSheetId="12" hidden="1">'P&amp;L.prior'!$W$7,'P&amp;L.prior'!$Y$7,'P&amp;L.prior'!$AB$7,'P&amp;L.prior'!$AF$7,'P&amp;L.prior'!#REF!,'P&amp;L.prior'!#REF!,'P&amp;L.prior'!#REF!,'P&amp;L.prior'!#REF!,'P&amp;L.prior'!#REF!,'P&amp;L.prior'!$W$8,'P&amp;L.prior'!$Y$8,'P&amp;L.prior'!$AB$8,'P&amp;L.prior'!$AF$8,'P&amp;L.prior'!#REF!,'P&amp;L.prior'!#REF!,'P&amp;L.prior'!#REF!</definedName>
    <definedName name="QB_FORMULA_1" localSheetId="10" hidden="1">'BS by month'!#REF!,'BS by month'!#REF!,'BS by month'!$W$9,'BS by month'!$Y$9,'BS by month'!$AB$9,'BS by month'!$AF$9,'BS by month'!#REF!,'BS by month'!#REF!,'BS by month'!#REF!,'BS by month'!#REF!,'BS by month'!#REF!,'BS by month'!$I$10,'BS by month'!$J$10,'BS by month'!$K$10,'BS by month'!$L$10,'BS by month'!$M$10</definedName>
    <definedName name="QB_FORMULA_1" localSheetId="7" hidden="1">BS.current!$J$66,BS.current!$J$72,BS.current!$J$75,BS.current!$J$76,BS.current!$J$77,BS.current!$J$78,BS.current!$J$83,BS.current!$J$84</definedName>
    <definedName name="QB_FORMULA_1" localSheetId="9" hidden="1">'BS.multi year'!$J$63,'BS.multi year'!$J$67,'BS.multi year'!$J$70,'BS.multi year'!$J$71,'BS.multi year'!$J$72,'BS.multi year'!$J$73,'BS.multi year'!$J$77,'BS.multi year'!$J$78</definedName>
    <definedName name="QB_FORMULA_1" localSheetId="8" hidden="1">BS.prior!$J$63,BS.prior!$J$67,BS.prior!$J$70,BS.prior!$J$71,BS.prior!$J$72,BS.prior!$J$73,BS.prior!$J$77,BS.prior!$J$78</definedName>
    <definedName name="QB_FORMULA_1" localSheetId="13" hidden="1">'P&amp;L.by month'!#REF!,'P&amp;L.by month'!#REF!,'P&amp;L.by month'!$W$9,'P&amp;L.by month'!$Y$9,'P&amp;L.by month'!$AB$9,'P&amp;L.by month'!$AF$9,'P&amp;L.by month'!#REF!,'P&amp;L.by month'!#REF!,'P&amp;L.by month'!#REF!,'P&amp;L.by month'!#REF!,'P&amp;L.by month'!#REF!,'P&amp;L.by month'!$I$10,'P&amp;L.by month'!$J$10,'P&amp;L.by month'!$K$10,'P&amp;L.by month'!$L$10,'P&amp;L.by month'!$M$10</definedName>
    <definedName name="QB_FORMULA_1" localSheetId="11" hidden="1">'P&amp;L.current'!$BG$8,'P&amp;L.current'!$BI$8,'P&amp;L.current'!$W$9,'P&amp;L.current'!$Y$9,'P&amp;L.current'!$AB$9,'P&amp;L.current'!$AF$9,'P&amp;L.current'!$AR$9,'P&amp;L.current'!$AX$9,'P&amp;L.current'!$AZ$9,'P&amp;L.current'!$BG$9,'P&amp;L.current'!$BI$9,'P&amp;L.current'!$I$10,'P&amp;L.current'!$J$10,'P&amp;L.current'!$K$10,'P&amp;L.current'!$L$10,'P&amp;L.current'!$M$10</definedName>
    <definedName name="QB_FORMULA_1" localSheetId="12" hidden="1">'P&amp;L.prior'!#REF!,'P&amp;L.prior'!#REF!,'P&amp;L.prior'!$W$9,'P&amp;L.prior'!$Y$9,'P&amp;L.prior'!$AB$9,'P&amp;L.prior'!$AF$9,'P&amp;L.prior'!#REF!,'P&amp;L.prior'!#REF!,'P&amp;L.prior'!#REF!,'P&amp;L.prior'!#REF!,'P&amp;L.prior'!#REF!,'P&amp;L.prior'!$I$10,'P&amp;L.prior'!$J$10,'P&amp;L.prior'!$K$10,'P&amp;L.prior'!$L$10,'P&amp;L.prior'!$M$10</definedName>
    <definedName name="QB_FORMULA_10" localSheetId="10" hidden="1">'BS by month'!$W$16,'BS by month'!$Y$16,'BS by month'!$AB$16,'BS by month'!$AF$16,'BS by month'!#REF!,'BS by month'!#REF!,'BS by month'!#REF!,'BS by month'!#REF!,'BS by month'!#REF!,'BS by month'!$W$17,'BS by month'!$Y$17,'BS by month'!$AB$17,'BS by month'!$AF$17,'BS by month'!#REF!,'BS by month'!#REF!,'BS by month'!#REF!</definedName>
    <definedName name="QB_FORMULA_10" localSheetId="13" hidden="1">'P&amp;L.by month'!$W$16,'P&amp;L.by month'!$Y$16,'P&amp;L.by month'!$AB$16,'P&amp;L.by month'!$AF$16,'P&amp;L.by month'!#REF!,'P&amp;L.by month'!#REF!,'P&amp;L.by month'!#REF!,'P&amp;L.by month'!#REF!,'P&amp;L.by month'!#REF!,'P&amp;L.by month'!$W$17,'P&amp;L.by month'!$Y$17,'P&amp;L.by month'!$AB$17,'P&amp;L.by month'!$AF$17,'P&amp;L.by month'!#REF!,'P&amp;L.by month'!#REF!,'P&amp;L.by month'!#REF!</definedName>
    <definedName name="QB_FORMULA_10" localSheetId="11" hidden="1">'P&amp;L.current'!$W$16,'P&amp;L.current'!$Y$16,'P&amp;L.current'!$AB$16,'P&amp;L.current'!$AF$16,'P&amp;L.current'!$AR$16,'P&amp;L.current'!$AX$16,'P&amp;L.current'!$AZ$16,'P&amp;L.current'!$BG$16,'P&amp;L.current'!$BI$16,'P&amp;L.current'!$W$17,'P&amp;L.current'!$Y$17,'P&amp;L.current'!$AB$17,'P&amp;L.current'!$AF$17,'P&amp;L.current'!$AR$17,'P&amp;L.current'!$AX$17,'P&amp;L.current'!$AZ$17</definedName>
    <definedName name="QB_FORMULA_10" localSheetId="12" hidden="1">'P&amp;L.prior'!$W$16,'P&amp;L.prior'!$Y$16,'P&amp;L.prior'!$AB$16,'P&amp;L.prior'!$AF$16,'P&amp;L.prior'!#REF!,'P&amp;L.prior'!#REF!,'P&amp;L.prior'!#REF!,'P&amp;L.prior'!#REF!,'P&amp;L.prior'!#REF!,'P&amp;L.prior'!$W$17,'P&amp;L.prior'!$Y$17,'P&amp;L.prior'!$AB$17,'P&amp;L.prior'!$AF$17,'P&amp;L.prior'!#REF!,'P&amp;L.prior'!#REF!,'P&amp;L.prior'!#REF!</definedName>
    <definedName name="QB_FORMULA_100" localSheetId="10" hidden="1">'BS by month'!$Q$109,'BS by month'!$R$109,'BS by month'!$S$109,'BS by month'!$T$109,'BS by month'!$U$109,'BS by month'!$V$109,'BS by month'!$W$109,'BS by month'!$X$109,'BS by month'!$Y$109,'BS by month'!$Z$109,'BS by month'!$AA$109,'BS by month'!$AB$109,'BS by month'!$AC$109,'BS by month'!$AD$109,'BS by month'!$AE$109,'BS by month'!$AF$109</definedName>
    <definedName name="QB_FORMULA_100" localSheetId="13" hidden="1">'P&amp;L.by month'!$Q$109,'P&amp;L.by month'!$R$109,'P&amp;L.by month'!$S$109,'P&amp;L.by month'!$T$109,'P&amp;L.by month'!$U$109,'P&amp;L.by month'!$V$109,'P&amp;L.by month'!$W$109,'P&amp;L.by month'!$X$109,'P&amp;L.by month'!$Y$109,'P&amp;L.by month'!$Z$109,'P&amp;L.by month'!$AA$109,'P&amp;L.by month'!$AB$109,'P&amp;L.by month'!$AC$109,'P&amp;L.by month'!$AD$109,'P&amp;L.by month'!$AE$109,'P&amp;L.by month'!$AF$109</definedName>
    <definedName name="QB_FORMULA_100" localSheetId="11" hidden="1">'P&amp;L.current'!$Q$109,'P&amp;L.current'!$R$109,'P&amp;L.current'!$S$109,'P&amp;L.current'!$T$109,'P&amp;L.current'!$U$109,'P&amp;L.current'!$V$109,'P&amp;L.current'!$W$109,'P&amp;L.current'!$X$109,'P&amp;L.current'!$Y$109,'P&amp;L.current'!$Z$109,'P&amp;L.current'!$AA$109,'P&amp;L.current'!$AB$109,'P&amp;L.current'!$AC$109,'P&amp;L.current'!$AD$109,'P&amp;L.current'!$AE$109,'P&amp;L.current'!$AF$109</definedName>
    <definedName name="QB_FORMULA_100" localSheetId="12" hidden="1">'P&amp;L.prior'!$Q$109,'P&amp;L.prior'!$R$109,'P&amp;L.prior'!$S$109,'P&amp;L.prior'!$T$109,'P&amp;L.prior'!$U$109,'P&amp;L.prior'!$V$109,'P&amp;L.prior'!$W$109,'P&amp;L.prior'!$X$109,'P&amp;L.prior'!$Y$109,'P&amp;L.prior'!$Z$109,'P&amp;L.prior'!$AA$109,'P&amp;L.prior'!$AB$109,'P&amp;L.prior'!$AC$109,'P&amp;L.prior'!$AD$109,'P&amp;L.prior'!$AE$109,'P&amp;L.prior'!$AF$109</definedName>
    <definedName name="QB_FORMULA_101" localSheetId="10" hidden="1">'BS by month'!$AG$109,'BS by month'!$AH$109,'BS by month'!$AI$109,'BS by month'!$AJ$109,'BS by month'!$AK$109,'BS by month'!$AL$109,'BS by month'!#REF!,'BS by month'!#REF!,'BS by month'!#REF!,'BS by month'!#REF!,'BS by month'!#REF!,'BS by month'!#REF!,'BS by month'!#REF!,'BS by month'!#REF!,'BS by month'!#REF!,'BS by month'!#REF!</definedName>
    <definedName name="QB_FORMULA_101" localSheetId="13" hidden="1">'P&amp;L.by month'!$AG$109,'P&amp;L.by month'!$AH$109,'P&amp;L.by month'!$AI$109,'P&amp;L.by month'!$AJ$109,'P&amp;L.by month'!$AK$109,'P&amp;L.by month'!$AL$109,'P&amp;L.by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01" localSheetId="11" hidden="1">'P&amp;L.current'!$AG$109,'P&amp;L.current'!$AH$109,'P&amp;L.current'!$AI$109,'P&amp;L.current'!$AJ$109,'P&amp;L.current'!$AK$109,'P&amp;L.current'!$AL$109,'P&amp;L.current'!$AM$109,'P&amp;L.current'!$AN$109,'P&amp;L.current'!$AO$109,'P&amp;L.current'!$AP$109,'P&amp;L.current'!$AQ$109,'P&amp;L.current'!$AR$109,'P&amp;L.current'!$AS$109,'P&amp;L.current'!$AT$109,'P&amp;L.current'!$AU$109,'P&amp;L.current'!$AV$109</definedName>
    <definedName name="QB_FORMULA_101" localSheetId="12" hidden="1">'P&amp;L.prior'!$AG$109,'P&amp;L.prior'!$AH$109,'P&amp;L.prior'!$AI$109,'P&amp;L.prior'!$AJ$109,'P&amp;L.prior'!$AK$109,'P&amp;L.prior'!$AL$109,'P&amp;L.prior'!#REF!,'P&amp;L.prior'!#REF!,'P&amp;L.prior'!#REF!,'P&amp;L.prior'!#REF!,'P&amp;L.prior'!#REF!,'P&amp;L.prior'!#REF!,'P&amp;L.prior'!#REF!,'P&amp;L.prior'!#REF!,'P&amp;L.prior'!#REF!,'P&amp;L.prior'!#REF!</definedName>
    <definedName name="QB_FORMULA_102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month'!$W$111,'BS by month'!$Y$111,'BS by month'!$AB$111</definedName>
    <definedName name="QB_FORMULA_102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month'!$W$111,'P&amp;L.by month'!$Y$111,'P&amp;L.by month'!$AB$111</definedName>
    <definedName name="QB_FORMULA_102" localSheetId="11" hidden="1">'P&amp;L.current'!$AW$109,'P&amp;L.current'!$AX$109,'P&amp;L.current'!$AY$109,'P&amp;L.current'!$AZ$109,'P&amp;L.current'!$BA$109,'P&amp;L.current'!$BB$109,'P&amp;L.current'!$BC$109,'P&amp;L.current'!$BD$109,'P&amp;L.current'!$BE$109,'P&amp;L.current'!$BF$109,'P&amp;L.current'!$BG$109,'P&amp;L.current'!$BH$109,'P&amp;L.current'!$BI$109,'P&amp;L.current'!$W$111,'P&amp;L.current'!$Y$111,'P&amp;L.current'!$AB$111</definedName>
    <definedName name="QB_FORMULA_102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$W$111,'P&amp;L.prior'!$Y$111,'P&amp;L.prior'!$AB$111</definedName>
    <definedName name="QB_FORMULA_103" localSheetId="10" hidden="1">'BS by month'!$AF$111,'BS by month'!#REF!,'BS by month'!#REF!,'BS by month'!#REF!,'BS by month'!#REF!,'BS by month'!#REF!,'BS by month'!$W$112,'BS by month'!$Y$112,'BS by month'!$AB$112,'BS by month'!$AF$112,'BS by month'!#REF!,'BS by month'!#REF!,'BS by month'!#REF!,'BS by month'!#REF!,'BS by month'!#REF!,'BS by month'!$I$113</definedName>
    <definedName name="QB_FORMULA_103" localSheetId="13" hidden="1">'P&amp;L.by month'!$AF$111,'P&amp;L.by month'!#REF!,'P&amp;L.by month'!#REF!,'P&amp;L.by month'!#REF!,'P&amp;L.by month'!#REF!,'P&amp;L.by month'!#REF!,'P&amp;L.by month'!$W$112,'P&amp;L.by month'!$Y$112,'P&amp;L.by month'!$AB$112,'P&amp;L.by month'!$AF$112,'P&amp;L.by month'!#REF!,'P&amp;L.by month'!#REF!,'P&amp;L.by month'!#REF!,'P&amp;L.by month'!#REF!,'P&amp;L.by month'!#REF!,'P&amp;L.by month'!$I$113</definedName>
    <definedName name="QB_FORMULA_103" localSheetId="11" hidden="1">'P&amp;L.current'!$AF$111,'P&amp;L.current'!$AR$111,'P&amp;L.current'!$AX$111,'P&amp;L.current'!$AZ$111,'P&amp;L.current'!$BG$111,'P&amp;L.current'!$BI$111,'P&amp;L.current'!$W$112,'P&amp;L.current'!$Y$112,'P&amp;L.current'!$AB$112,'P&amp;L.current'!$AF$112,'P&amp;L.current'!$AR$112,'P&amp;L.current'!$AX$112,'P&amp;L.current'!$AZ$112,'P&amp;L.current'!$BG$112,'P&amp;L.current'!$BI$112,'P&amp;L.current'!$I$113</definedName>
    <definedName name="QB_FORMULA_103" localSheetId="12" hidden="1">'P&amp;L.prior'!$AF$111,'P&amp;L.prior'!#REF!,'P&amp;L.prior'!#REF!,'P&amp;L.prior'!#REF!,'P&amp;L.prior'!#REF!,'P&amp;L.prior'!#REF!,'P&amp;L.prior'!$W$112,'P&amp;L.prior'!$Y$112,'P&amp;L.prior'!$AB$112,'P&amp;L.prior'!$AF$112,'P&amp;L.prior'!#REF!,'P&amp;L.prior'!#REF!,'P&amp;L.prior'!#REF!,'P&amp;L.prior'!#REF!,'P&amp;L.prior'!#REF!,'P&amp;L.prior'!$I$113</definedName>
    <definedName name="QB_FORMULA_104" localSheetId="10" hidden="1">'BS by month'!$J$113,'BS by month'!$K$113,'BS by month'!$L$113,'BS by month'!$M$113,'BS by month'!$N$113,'BS by month'!$O$113,'BS by month'!$P$113,'BS by month'!$Q$113,'BS by month'!$R$113,'BS by month'!$S$113,'BS by month'!$T$113,'BS by month'!$U$113,'BS by month'!$V$113,'BS by month'!$W$113,'BS by month'!$X$113,'BS by month'!$Y$113</definedName>
    <definedName name="QB_FORMULA_104" localSheetId="13" hidden="1">'P&amp;L.by month'!$J$113,'P&amp;L.by month'!$K$113,'P&amp;L.by month'!$L$113,'P&amp;L.by month'!$M$113,'P&amp;L.by month'!$N$113,'P&amp;L.by month'!$O$113,'P&amp;L.by month'!$P$113,'P&amp;L.by month'!$Q$113,'P&amp;L.by month'!$R$113,'P&amp;L.by month'!$S$113,'P&amp;L.by month'!$T$113,'P&amp;L.by month'!$U$113,'P&amp;L.by month'!$V$113,'P&amp;L.by month'!$W$113,'P&amp;L.by month'!$X$113,'P&amp;L.by month'!$Y$113</definedName>
    <definedName name="QB_FORMULA_104" localSheetId="11" hidden="1">'P&amp;L.current'!$J$113,'P&amp;L.current'!$K$113,'P&amp;L.current'!$L$113,'P&amp;L.current'!$M$113,'P&amp;L.current'!$N$113,'P&amp;L.current'!$O$113,'P&amp;L.current'!$P$113,'P&amp;L.current'!$Q$113,'P&amp;L.current'!$R$113,'P&amp;L.current'!$S$113,'P&amp;L.current'!$T$113,'P&amp;L.current'!$U$113,'P&amp;L.current'!$V$113,'P&amp;L.current'!$W$113,'P&amp;L.current'!$X$113,'P&amp;L.current'!$Y$113</definedName>
    <definedName name="QB_FORMULA_104" localSheetId="12" hidden="1">'P&amp;L.prior'!$J$113,'P&amp;L.prior'!$K$113,'P&amp;L.prior'!$L$113,'P&amp;L.prior'!$M$113,'P&amp;L.prior'!$N$113,'P&amp;L.prior'!$O$113,'P&amp;L.prior'!$P$113,'P&amp;L.prior'!$Q$113,'P&amp;L.prior'!$R$113,'P&amp;L.prior'!$S$113,'P&amp;L.prior'!$T$113,'P&amp;L.prior'!$U$113,'P&amp;L.prior'!$V$113,'P&amp;L.prior'!$W$113,'P&amp;L.prior'!$X$113,'P&amp;L.prior'!$Y$113</definedName>
    <definedName name="QB_FORMULA_105" localSheetId="10" hidden="1">'BS by month'!$Z$113,'BS by month'!$AA$113,'BS by month'!$AB$113,'BS by month'!$AC$113,'BS by month'!$AD$113,'BS by month'!$AE$113,'BS by month'!$AF$113,'BS by month'!$AG$113,'BS by month'!$AH$113,'BS by month'!$AI$113,'BS by month'!$AJ$113,'BS by month'!$AK$113,'BS by month'!$AL$113,'BS by month'!#REF!,'BS by month'!#REF!,'BS by month'!#REF!</definedName>
    <definedName name="QB_FORMULA_105" localSheetId="13" hidden="1">'P&amp;L.by month'!$Z$113,'P&amp;L.by month'!$AA$113,'P&amp;L.by month'!$AB$113,'P&amp;L.by month'!$AC$113,'P&amp;L.by month'!$AD$113,'P&amp;L.by month'!$AE$113,'P&amp;L.by month'!$AF$113,'P&amp;L.by month'!$AG$113,'P&amp;L.by month'!$AH$113,'P&amp;L.by month'!$AI$113,'P&amp;L.by month'!$AJ$113,'P&amp;L.by month'!$AK$113,'P&amp;L.by month'!$AL$113,'P&amp;L.by month'!#REF!,'P&amp;L.by month'!#REF!,'P&amp;L.by month'!#REF!</definedName>
    <definedName name="QB_FORMULA_105" localSheetId="11" hidden="1">'P&amp;L.current'!$Z$113,'P&amp;L.current'!$AA$113,'P&amp;L.current'!$AB$113,'P&amp;L.current'!$AC$113,'P&amp;L.current'!$AD$113,'P&amp;L.current'!$AE$113,'P&amp;L.current'!$AF$113,'P&amp;L.current'!$AG$113,'P&amp;L.current'!$AH$113,'P&amp;L.current'!$AI$113,'P&amp;L.current'!$AJ$113,'P&amp;L.current'!$AK$113,'P&amp;L.current'!$AL$113,'P&amp;L.current'!$AM$113,'P&amp;L.current'!$AN$113,'P&amp;L.current'!$AO$113</definedName>
    <definedName name="QB_FORMULA_105" localSheetId="12" hidden="1">'P&amp;L.prior'!$Z$113,'P&amp;L.prior'!$AA$113,'P&amp;L.prior'!$AB$113,'P&amp;L.prior'!$AC$113,'P&amp;L.prior'!$AD$113,'P&amp;L.prior'!$AE$113,'P&amp;L.prior'!$AF$113,'P&amp;L.prior'!$AG$113,'P&amp;L.prior'!$AH$113,'P&amp;L.prior'!$AI$113,'P&amp;L.prior'!$AJ$113,'P&amp;L.prior'!$AK$113,'P&amp;L.prior'!$AL$113,'P&amp;L.prior'!#REF!,'P&amp;L.prior'!#REF!,'P&amp;L.prior'!#REF!</definedName>
    <definedName name="QB_FORMULA_106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06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06" localSheetId="11" hidden="1">'P&amp;L.current'!$AP$113,'P&amp;L.current'!$AQ$113,'P&amp;L.current'!$AR$113,'P&amp;L.current'!$AS$113,'P&amp;L.current'!$AT$113,'P&amp;L.current'!$AU$113,'P&amp;L.current'!$AV$113,'P&amp;L.current'!$AW$113,'P&amp;L.current'!$AX$113,'P&amp;L.current'!$AY$113,'P&amp;L.current'!$AZ$113,'P&amp;L.current'!$BA$113,'P&amp;L.current'!$BB$113,'P&amp;L.current'!$BC$113,'P&amp;L.current'!$BD$113,'P&amp;L.current'!$BE$113</definedName>
    <definedName name="QB_FORMULA_106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07" localSheetId="10" hidden="1">'BS by month'!#REF!,'BS by month'!#REF!,'BS by month'!#REF!,'BS by month'!#REF!,'BS by month'!$W$115,'BS by month'!$Y$115,'BS by month'!$AB$115,'BS by month'!$AF$115,'BS by month'!#REF!,'BS by month'!#REF!,'BS by month'!#REF!,'BS by month'!#REF!,'BS by month'!#REF!,'BS by month'!$W$116,'BS by month'!$Y$116,'BS by month'!$AB$116</definedName>
    <definedName name="QB_FORMULA_107" localSheetId="13" hidden="1">'P&amp;L.by month'!#REF!,'P&amp;L.by month'!#REF!,'P&amp;L.by month'!#REF!,'P&amp;L.by month'!#REF!,'P&amp;L.by month'!$W$115,'P&amp;L.by month'!$Y$115,'P&amp;L.by month'!$AB$115,'P&amp;L.by month'!$AF$115,'P&amp;L.by month'!#REF!,'P&amp;L.by month'!#REF!,'P&amp;L.by month'!#REF!,'P&amp;L.by month'!#REF!,'P&amp;L.by month'!#REF!,'P&amp;L.by month'!$W$116,'P&amp;L.by month'!$Y$116,'P&amp;L.by month'!$AB$116</definedName>
    <definedName name="QB_FORMULA_107" localSheetId="11" hidden="1">'P&amp;L.current'!$BF$113,'P&amp;L.current'!$BG$113,'P&amp;L.current'!$BH$113,'P&amp;L.current'!$BI$113,'P&amp;L.current'!$W$115,'P&amp;L.current'!$Y$115,'P&amp;L.current'!$AB$115,'P&amp;L.current'!$AF$115,'P&amp;L.current'!$AR$115,'P&amp;L.current'!$AX$115,'P&amp;L.current'!$AZ$115,'P&amp;L.current'!$BG$115,'P&amp;L.current'!$BI$115,'P&amp;L.current'!$W$116,'P&amp;L.current'!$Y$116,'P&amp;L.current'!$AB$116</definedName>
    <definedName name="QB_FORMULA_107" localSheetId="12" hidden="1">'P&amp;L.prior'!#REF!,'P&amp;L.prior'!#REF!,'P&amp;L.prior'!#REF!,'P&amp;L.prior'!#REF!,'P&amp;L.prior'!$W$115,'P&amp;L.prior'!$Y$115,'P&amp;L.prior'!$AB$115,'P&amp;L.prior'!$AF$115,'P&amp;L.prior'!#REF!,'P&amp;L.prior'!#REF!,'P&amp;L.prior'!#REF!,'P&amp;L.prior'!#REF!,'P&amp;L.prior'!#REF!,'P&amp;L.prior'!$W$116,'P&amp;L.prior'!$Y$116,'P&amp;L.prior'!$AB$116</definedName>
    <definedName name="QB_FORMULA_108" localSheetId="10" hidden="1">'BS by month'!$AF$116,'BS by month'!#REF!,'BS by month'!#REF!,'BS by month'!#REF!,'BS by month'!#REF!,'BS by month'!#REF!,'BS by month'!$I$117,'BS by month'!$J$117,'BS by month'!$K$117,'BS by month'!$L$117,'BS by month'!$M$117,'BS by month'!$N$117,'BS by month'!$O$117,'BS by month'!$P$117,'BS by month'!$Q$117,'BS by month'!$R$117</definedName>
    <definedName name="QB_FORMULA_108" localSheetId="13" hidden="1">'P&amp;L.by month'!$AF$116,'P&amp;L.by month'!#REF!,'P&amp;L.by month'!#REF!,'P&amp;L.by month'!#REF!,'P&amp;L.by month'!#REF!,'P&amp;L.by month'!#REF!,'P&amp;L.by month'!$I$117,'P&amp;L.by month'!$J$117,'P&amp;L.by month'!$K$117,'P&amp;L.by month'!$L$117,'P&amp;L.by month'!$M$117,'P&amp;L.by month'!$N$117,'P&amp;L.by month'!$O$117,'P&amp;L.by month'!$P$117,'P&amp;L.by month'!$Q$117,'P&amp;L.by month'!$R$117</definedName>
    <definedName name="QB_FORMULA_108" localSheetId="11" hidden="1">'P&amp;L.current'!$AF$116,'P&amp;L.current'!$AR$116,'P&amp;L.current'!$AX$116,'P&amp;L.current'!$AZ$116,'P&amp;L.current'!$BG$116,'P&amp;L.current'!$BI$116,'P&amp;L.current'!$I$117,'P&amp;L.current'!$J$117,'P&amp;L.current'!$K$117,'P&amp;L.current'!$L$117,'P&amp;L.current'!$M$117,'P&amp;L.current'!$N$117,'P&amp;L.current'!$O$117,'P&amp;L.current'!$P$117,'P&amp;L.current'!$Q$117,'P&amp;L.current'!$R$117</definedName>
    <definedName name="QB_FORMULA_108" localSheetId="12" hidden="1">'P&amp;L.prior'!$AF$116,'P&amp;L.prior'!#REF!,'P&amp;L.prior'!#REF!,'P&amp;L.prior'!#REF!,'P&amp;L.prior'!#REF!,'P&amp;L.prior'!#REF!,'P&amp;L.prior'!$I$117,'P&amp;L.prior'!$J$117,'P&amp;L.prior'!$K$117,'P&amp;L.prior'!$L$117,'P&amp;L.prior'!$M$117,'P&amp;L.prior'!$N$117,'P&amp;L.prior'!$O$117,'P&amp;L.prior'!$P$117,'P&amp;L.prior'!$Q$117,'P&amp;L.prior'!$R$117</definedName>
    <definedName name="QB_FORMULA_109" localSheetId="10" hidden="1">'BS by month'!$S$117,'BS by month'!$T$117,'BS by month'!$U$117,'BS by month'!$V$117,'BS by month'!$W$117,'BS by month'!$X$117,'BS by month'!$Y$117,'BS by month'!$Z$117,'BS by month'!$AA$117,'BS by month'!$AB$117,'BS by month'!$AC$117,'BS by month'!$AD$117,'BS by month'!$AE$117,'BS by month'!$AF$117,'BS by month'!$AG$117,'BS by month'!$AH$117</definedName>
    <definedName name="QB_FORMULA_109" localSheetId="13" hidden="1">'P&amp;L.by month'!$S$117,'P&amp;L.by month'!$T$117,'P&amp;L.by month'!$U$117,'P&amp;L.by month'!$V$117,'P&amp;L.by month'!$W$117,'P&amp;L.by month'!$X$117,'P&amp;L.by month'!$Y$117,'P&amp;L.by month'!$Z$117,'P&amp;L.by month'!$AA$117,'P&amp;L.by month'!$AB$117,'P&amp;L.by month'!$AC$117,'P&amp;L.by month'!$AD$117,'P&amp;L.by month'!$AE$117,'P&amp;L.by month'!$AF$117,'P&amp;L.by month'!$AG$117,'P&amp;L.by month'!$AH$117</definedName>
    <definedName name="QB_FORMULA_109" localSheetId="11" hidden="1">'P&amp;L.current'!$S$117,'P&amp;L.current'!$T$117,'P&amp;L.current'!$U$117,'P&amp;L.current'!$V$117,'P&amp;L.current'!$W$117,'P&amp;L.current'!$X$117,'P&amp;L.current'!$Y$117,'P&amp;L.current'!$Z$117,'P&amp;L.current'!$AA$117,'P&amp;L.current'!$AB$117,'P&amp;L.current'!$AC$117,'P&amp;L.current'!$AD$117,'P&amp;L.current'!$AE$117,'P&amp;L.current'!$AF$117,'P&amp;L.current'!$AG$117,'P&amp;L.current'!$AH$117</definedName>
    <definedName name="QB_FORMULA_109" localSheetId="12" hidden="1">'P&amp;L.prior'!$S$117,'P&amp;L.prior'!$T$117,'P&amp;L.prior'!$U$117,'P&amp;L.prior'!$V$117,'P&amp;L.prior'!$W$117,'P&amp;L.prior'!$X$117,'P&amp;L.prior'!$Y$117,'P&amp;L.prior'!$Z$117,'P&amp;L.prior'!$AA$117,'P&amp;L.prior'!$AB$117,'P&amp;L.prior'!$AC$117,'P&amp;L.prior'!$AD$117,'P&amp;L.prior'!$AE$117,'P&amp;L.prior'!$AF$117,'P&amp;L.prior'!$AG$117,'P&amp;L.prior'!$AH$117</definedName>
    <definedName name="QB_FORMULA_11" localSheetId="10" hidden="1">'BS by month'!#REF!,'BS by month'!#REF!,'BS by month'!$W$19,'BS by month'!$Y$19,'BS by month'!$AB$19,'BS by month'!$AF$19,'BS by month'!#REF!,'BS by month'!#REF!,'BS by month'!#REF!,'BS by month'!#REF!,'BS by month'!#REF!,'BS by month'!$W$20,'BS by month'!$Y$20,'BS by month'!$AB$20,'BS by month'!$AF$20,'BS by month'!#REF!</definedName>
    <definedName name="QB_FORMULA_11" localSheetId="13" hidden="1">'P&amp;L.by month'!#REF!,'P&amp;L.by month'!#REF!,'P&amp;L.by month'!$W$19,'P&amp;L.by month'!$Y$19,'P&amp;L.by month'!$AB$19,'P&amp;L.by month'!$AF$19,'P&amp;L.by month'!#REF!,'P&amp;L.by month'!#REF!,'P&amp;L.by month'!#REF!,'P&amp;L.by month'!#REF!,'P&amp;L.by month'!#REF!,'P&amp;L.by month'!$W$20,'P&amp;L.by month'!$Y$20,'P&amp;L.by month'!$AB$20,'P&amp;L.by month'!$AF$20,'P&amp;L.by month'!#REF!</definedName>
    <definedName name="QB_FORMULA_11" localSheetId="11" hidden="1">'P&amp;L.current'!$BG$17,'P&amp;L.current'!$BI$17,'P&amp;L.current'!$W$19,'P&amp;L.current'!$Y$19,'P&amp;L.current'!$AB$19,'P&amp;L.current'!$AF$19,'P&amp;L.current'!$AR$19,'P&amp;L.current'!$AX$19,'P&amp;L.current'!$AZ$19,'P&amp;L.current'!$BG$19,'P&amp;L.current'!$BI$19,'P&amp;L.current'!$W$20,'P&amp;L.current'!$Y$20,'P&amp;L.current'!$AB$20,'P&amp;L.current'!$AF$20,'P&amp;L.current'!$AR$20</definedName>
    <definedName name="QB_FORMULA_11" localSheetId="12" hidden="1">'P&amp;L.prior'!#REF!,'P&amp;L.prior'!#REF!,'P&amp;L.prior'!$W$19,'P&amp;L.prior'!$Y$19,'P&amp;L.prior'!$AB$19,'P&amp;L.prior'!$AF$19,'P&amp;L.prior'!#REF!,'P&amp;L.prior'!#REF!,'P&amp;L.prior'!#REF!,'P&amp;L.prior'!#REF!,'P&amp;L.prior'!#REF!,'P&amp;L.prior'!$W$20,'P&amp;L.prior'!$Y$20,'P&amp;L.prior'!$AB$20,'P&amp;L.prior'!$AF$20,'P&amp;L.prior'!#REF!</definedName>
    <definedName name="QB_FORMULA_110" localSheetId="10" hidden="1">'BS by month'!$AI$117,'BS by month'!$AJ$117,'BS by month'!$AK$117,'BS by month'!$AL$117,'BS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10" localSheetId="13" hidden="1">'P&amp;L.by month'!$AI$117,'P&amp;L.by month'!$AJ$117,'P&amp;L.by month'!$AK$117,'P&amp;L.by month'!$AL$117,'P&amp;L.by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10" localSheetId="11" hidden="1">'P&amp;L.current'!$AI$117,'P&amp;L.current'!$AJ$117,'P&amp;L.current'!$AK$117,'P&amp;L.current'!$AL$117,'P&amp;L.current'!$AM$117,'P&amp;L.current'!$AN$117,'P&amp;L.current'!$AO$117,'P&amp;L.current'!$AP$117,'P&amp;L.current'!$AQ$117,'P&amp;L.current'!$AR$117,'P&amp;L.current'!$AS$117,'P&amp;L.current'!$AT$117,'P&amp;L.current'!$AU$117,'P&amp;L.current'!$AV$117,'P&amp;L.current'!$AW$117,'P&amp;L.current'!$AX$117</definedName>
    <definedName name="QB_FORMULA_110" localSheetId="12" hidden="1">'P&amp;L.prior'!$AI$117,'P&amp;L.prior'!$AJ$117,'P&amp;L.prior'!$AK$117,'P&amp;L.prior'!$AL$117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11" localSheetId="10" hidden="1">'BS by month'!#REF!,'BS by month'!#REF!,'BS by month'!#REF!,'BS by month'!#REF!,'BS by month'!#REF!,'BS by month'!#REF!,'BS by month'!#REF!,'BS by month'!#REF!,'BS by month'!#REF!,'BS by month'!#REF!,'BS by month'!#REF!,'BS by month'!$W$119,'BS by month'!$Y$119,'BS by month'!$AB$119,'BS by month'!$AF$119,'BS by month'!#REF!</definedName>
    <definedName name="QB_FORMULA_111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month'!$W$119,'P&amp;L.by month'!$Y$119,'P&amp;L.by month'!$AB$119,'P&amp;L.by month'!$AF$119,'P&amp;L.by month'!#REF!</definedName>
    <definedName name="QB_FORMULA_111" localSheetId="11" hidden="1">'P&amp;L.current'!$AY$117,'P&amp;L.current'!$AZ$117,'P&amp;L.current'!$BA$117,'P&amp;L.current'!$BB$117,'P&amp;L.current'!$BC$117,'P&amp;L.current'!$BD$117,'P&amp;L.current'!$BE$117,'P&amp;L.current'!$BF$117,'P&amp;L.current'!$BG$117,'P&amp;L.current'!$BH$117,'P&amp;L.current'!$BI$117,'P&amp;L.current'!$W$119,'P&amp;L.current'!$Y$119,'P&amp;L.current'!$AB$119,'P&amp;L.current'!$AF$119,'P&amp;L.current'!$AR$119</definedName>
    <definedName name="QB_FORMULA_111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$W$119,'P&amp;L.prior'!$Y$119,'P&amp;L.prior'!$AB$119,'P&amp;L.prior'!$AF$119,'P&amp;L.prior'!#REF!</definedName>
    <definedName name="QB_FORMULA_112" localSheetId="10" hidden="1">'BS by month'!#REF!,'BS by month'!#REF!,'BS by month'!#REF!,'BS by month'!#REF!,'BS by month'!$W$120,'BS by month'!$Y$120,'BS by month'!$AB$120,'BS by month'!$AF$120,'BS by month'!#REF!,'BS by month'!#REF!,'BS by month'!#REF!,'BS by month'!#REF!,'BS by month'!#REF!,'BS by month'!$W$121,'BS by month'!$Y$121,'BS by month'!$AB$121</definedName>
    <definedName name="QB_FORMULA_112" localSheetId="13" hidden="1">'P&amp;L.by month'!#REF!,'P&amp;L.by month'!#REF!,'P&amp;L.by month'!#REF!,'P&amp;L.by month'!#REF!,'P&amp;L.by month'!$W$120,'P&amp;L.by month'!$Y$120,'P&amp;L.by month'!$AB$120,'P&amp;L.by month'!$AF$120,'P&amp;L.by month'!#REF!,'P&amp;L.by month'!#REF!,'P&amp;L.by month'!#REF!,'P&amp;L.by month'!#REF!,'P&amp;L.by month'!#REF!,'P&amp;L.by month'!$W$121,'P&amp;L.by month'!$Y$121,'P&amp;L.by month'!$AB$121</definedName>
    <definedName name="QB_FORMULA_112" localSheetId="11" hidden="1">'P&amp;L.current'!$AX$119,'P&amp;L.current'!$AZ$119,'P&amp;L.current'!$BG$119,'P&amp;L.current'!$BI$119,'P&amp;L.current'!$W$120,'P&amp;L.current'!$Y$120,'P&amp;L.current'!$AB$120,'P&amp;L.current'!$AF$120,'P&amp;L.current'!$AR$120,'P&amp;L.current'!$AX$120,'P&amp;L.current'!$AZ$120,'P&amp;L.current'!$BG$120,'P&amp;L.current'!$BI$120,'P&amp;L.current'!$W$121,'P&amp;L.current'!$Y$121,'P&amp;L.current'!$AB$121</definedName>
    <definedName name="QB_FORMULA_112" localSheetId="12" hidden="1">'P&amp;L.prior'!#REF!,'P&amp;L.prior'!#REF!,'P&amp;L.prior'!#REF!,'P&amp;L.prior'!#REF!,'P&amp;L.prior'!$W$120,'P&amp;L.prior'!$Y$120,'P&amp;L.prior'!$AB$120,'P&amp;L.prior'!$AF$120,'P&amp;L.prior'!#REF!,'P&amp;L.prior'!#REF!,'P&amp;L.prior'!#REF!,'P&amp;L.prior'!#REF!,'P&amp;L.prior'!#REF!,'P&amp;L.prior'!$W$121,'P&amp;L.prior'!$Y$121,'P&amp;L.prior'!$AB$121</definedName>
    <definedName name="QB_FORMULA_113" localSheetId="10" hidden="1">'BS by month'!$AF$121,'BS by month'!#REF!,'BS by month'!#REF!,'BS by month'!#REF!,'BS by month'!#REF!,'BS by month'!#REF!,'BS by month'!$W$122,'BS by month'!$Y$122,'BS by month'!$AB$122,'BS by month'!$AF$122,'BS by month'!#REF!,'BS by month'!#REF!,'BS by month'!#REF!,'BS by month'!#REF!,'BS by month'!#REF!,'BS by month'!$W$123</definedName>
    <definedName name="QB_FORMULA_113" localSheetId="13" hidden="1">'P&amp;L.by month'!$AF$121,'P&amp;L.by month'!#REF!,'P&amp;L.by month'!#REF!,'P&amp;L.by month'!#REF!,'P&amp;L.by month'!#REF!,'P&amp;L.by month'!#REF!,'P&amp;L.by month'!$W$122,'P&amp;L.by month'!$Y$122,'P&amp;L.by month'!$AB$122,'P&amp;L.by month'!$AF$122,'P&amp;L.by month'!#REF!,'P&amp;L.by month'!#REF!,'P&amp;L.by month'!#REF!,'P&amp;L.by month'!#REF!,'P&amp;L.by month'!#REF!,'P&amp;L.by month'!$W$123</definedName>
    <definedName name="QB_FORMULA_113" localSheetId="11" hidden="1">'P&amp;L.current'!$AF$121,'P&amp;L.current'!$AR$121,'P&amp;L.current'!$AX$121,'P&amp;L.current'!$AZ$121,'P&amp;L.current'!$BG$121,'P&amp;L.current'!$BI$121,'P&amp;L.current'!$W$122,'P&amp;L.current'!$Y$122,'P&amp;L.current'!$AB$122,'P&amp;L.current'!$AF$122,'P&amp;L.current'!$AR$122,'P&amp;L.current'!$AX$122,'P&amp;L.current'!$AZ$122,'P&amp;L.current'!$BG$122,'P&amp;L.current'!$BI$122,'P&amp;L.current'!$W$123</definedName>
    <definedName name="QB_FORMULA_113" localSheetId="12" hidden="1">'P&amp;L.prior'!$AF$121,'P&amp;L.prior'!#REF!,'P&amp;L.prior'!#REF!,'P&amp;L.prior'!#REF!,'P&amp;L.prior'!#REF!,'P&amp;L.prior'!#REF!,'P&amp;L.prior'!$W$122,'P&amp;L.prior'!$Y$122,'P&amp;L.prior'!$AB$122,'P&amp;L.prior'!$AF$122,'P&amp;L.prior'!#REF!,'P&amp;L.prior'!#REF!,'P&amp;L.prior'!#REF!,'P&amp;L.prior'!#REF!,'P&amp;L.prior'!#REF!,'P&amp;L.prior'!$W$123</definedName>
    <definedName name="QB_FORMULA_114" localSheetId="10" hidden="1">'BS by month'!$Y$123,'BS by month'!$AB$123,'BS by month'!$AF$123,'BS by month'!#REF!,'BS by month'!#REF!,'BS by month'!#REF!,'BS by month'!#REF!,'BS by month'!#REF!,'BS by month'!$I$124,'BS by month'!$J$124,'BS by month'!$K$124,'BS by month'!$L$124,'BS by month'!$M$124,'BS by month'!$N$124,'BS by month'!$O$124,'BS by month'!$P$124</definedName>
    <definedName name="QB_FORMULA_114" localSheetId="13" hidden="1">'P&amp;L.by month'!$Y$123,'P&amp;L.by month'!$AB$123,'P&amp;L.by month'!$AF$123,'P&amp;L.by month'!#REF!,'P&amp;L.by month'!#REF!,'P&amp;L.by month'!#REF!,'P&amp;L.by month'!#REF!,'P&amp;L.by month'!#REF!,'P&amp;L.by month'!$I$124,'P&amp;L.by month'!$J$124,'P&amp;L.by month'!$K$124,'P&amp;L.by month'!$L$124,'P&amp;L.by month'!$M$124,'P&amp;L.by month'!$N$124,'P&amp;L.by month'!$O$124,'P&amp;L.by month'!$P$124</definedName>
    <definedName name="QB_FORMULA_114" localSheetId="11" hidden="1">'P&amp;L.current'!$Y$123,'P&amp;L.current'!$AB$123,'P&amp;L.current'!$AF$123,'P&amp;L.current'!$AR$123,'P&amp;L.current'!$AX$123,'P&amp;L.current'!$AZ$123,'P&amp;L.current'!$BG$123,'P&amp;L.current'!$BI$123,'P&amp;L.current'!$I$124,'P&amp;L.current'!$J$124,'P&amp;L.current'!$K$124,'P&amp;L.current'!$L$124,'P&amp;L.current'!$M$124,'P&amp;L.current'!$N$124,'P&amp;L.current'!$O$124,'P&amp;L.current'!$P$124</definedName>
    <definedName name="QB_FORMULA_114" localSheetId="12" hidden="1">'P&amp;L.prior'!$Y$123,'P&amp;L.prior'!$AB$123,'P&amp;L.prior'!$AF$123,'P&amp;L.prior'!#REF!,'P&amp;L.prior'!#REF!,'P&amp;L.prior'!#REF!,'P&amp;L.prior'!#REF!,'P&amp;L.prior'!#REF!,'P&amp;L.prior'!$I$124,'P&amp;L.prior'!$J$124,'P&amp;L.prior'!$K$124,'P&amp;L.prior'!$L$124,'P&amp;L.prior'!$M$124,'P&amp;L.prior'!$N$124,'P&amp;L.prior'!$O$124,'P&amp;L.prior'!$P$124</definedName>
    <definedName name="QB_FORMULA_115" localSheetId="10" hidden="1">'BS by month'!$Q$124,'BS by month'!$R$124,'BS by month'!$S$124,'BS by month'!$T$124,'BS by month'!$U$124,'BS by month'!$V$124,'BS by month'!$W$124,'BS by month'!$X$124,'BS by month'!$Y$124,'BS by month'!$Z$124,'BS by month'!$AA$124,'BS by month'!$AB$124,'BS by month'!$AC$124,'BS by month'!$AD$124,'BS by month'!$AE$124,'BS by month'!$AF$124</definedName>
    <definedName name="QB_FORMULA_115" localSheetId="13" hidden="1">'P&amp;L.by month'!$Q$124,'P&amp;L.by month'!$R$124,'P&amp;L.by month'!$S$124,'P&amp;L.by month'!$T$124,'P&amp;L.by month'!$U$124,'P&amp;L.by month'!$V$124,'P&amp;L.by month'!$W$124,'P&amp;L.by month'!$X$124,'P&amp;L.by month'!$Y$124,'P&amp;L.by month'!$Z$124,'P&amp;L.by month'!$AA$124,'P&amp;L.by month'!$AB$124,'P&amp;L.by month'!$AC$124,'P&amp;L.by month'!$AD$124,'P&amp;L.by month'!$AE$124,'P&amp;L.by month'!$AF$124</definedName>
    <definedName name="QB_FORMULA_115" localSheetId="11" hidden="1">'P&amp;L.current'!$Q$124,'P&amp;L.current'!$R$124,'P&amp;L.current'!$S$124,'P&amp;L.current'!$T$124,'P&amp;L.current'!$U$124,'P&amp;L.current'!$V$124,'P&amp;L.current'!$W$124,'P&amp;L.current'!$X$124,'P&amp;L.current'!$Y$124,'P&amp;L.current'!$Z$124,'P&amp;L.current'!$AA$124,'P&amp;L.current'!$AB$124,'P&amp;L.current'!$AC$124,'P&amp;L.current'!$AD$124,'P&amp;L.current'!$AE$124,'P&amp;L.current'!$AF$124</definedName>
    <definedName name="QB_FORMULA_115" localSheetId="12" hidden="1">'P&amp;L.prior'!$Q$124,'P&amp;L.prior'!$R$124,'P&amp;L.prior'!$S$124,'P&amp;L.prior'!$T$124,'P&amp;L.prior'!$U$124,'P&amp;L.prior'!$V$124,'P&amp;L.prior'!$W$124,'P&amp;L.prior'!$X$124,'P&amp;L.prior'!$Y$124,'P&amp;L.prior'!$Z$124,'P&amp;L.prior'!$AA$124,'P&amp;L.prior'!$AB$124,'P&amp;L.prior'!$AC$124,'P&amp;L.prior'!$AD$124,'P&amp;L.prior'!$AE$124,'P&amp;L.prior'!$AF$124</definedName>
    <definedName name="QB_FORMULA_116" localSheetId="10" hidden="1">'BS by month'!$AG$124,'BS by month'!$AH$124,'BS by month'!$AI$124,'BS by month'!$AJ$124,'BS by month'!$AK$124,'BS by month'!$AL$124,'BS by month'!#REF!,'BS by month'!#REF!,'BS by month'!#REF!,'BS by month'!#REF!,'BS by month'!#REF!,'BS by month'!#REF!,'BS by month'!#REF!,'BS by month'!#REF!,'BS by month'!#REF!,'BS by month'!#REF!</definedName>
    <definedName name="QB_FORMULA_116" localSheetId="13" hidden="1">'P&amp;L.by month'!$AG$124,'P&amp;L.by month'!$AH$124,'P&amp;L.by month'!$AI$124,'P&amp;L.by month'!$AJ$124,'P&amp;L.by month'!$AK$124,'P&amp;L.by month'!$AL$124,'P&amp;L.by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16" localSheetId="11" hidden="1">'P&amp;L.current'!$AG$124,'P&amp;L.current'!$AH$124,'P&amp;L.current'!$AI$124,'P&amp;L.current'!$AJ$124,'P&amp;L.current'!$AK$124,'P&amp;L.current'!$AL$124,'P&amp;L.current'!$AM$124,'P&amp;L.current'!$AN$124,'P&amp;L.current'!$AO$124,'P&amp;L.current'!$AP$124,'P&amp;L.current'!$AQ$124,'P&amp;L.current'!$AR$124,'P&amp;L.current'!$AS$124,'P&amp;L.current'!$AT$124,'P&amp;L.current'!$AU$124,'P&amp;L.current'!$AV$124</definedName>
    <definedName name="QB_FORMULA_116" localSheetId="12" hidden="1">'P&amp;L.prior'!$AG$124,'P&amp;L.prior'!$AH$124,'P&amp;L.prior'!$AI$124,'P&amp;L.prior'!$AJ$124,'P&amp;L.prior'!$AK$124,'P&amp;L.prior'!$AL$124,'P&amp;L.prior'!#REF!,'P&amp;L.prior'!#REF!,'P&amp;L.prior'!#REF!,'P&amp;L.prior'!#REF!,'P&amp;L.prior'!#REF!,'P&amp;L.prior'!#REF!,'P&amp;L.prior'!#REF!,'P&amp;L.prior'!#REF!,'P&amp;L.prior'!#REF!,'P&amp;L.prior'!#REF!</definedName>
    <definedName name="QB_FORMULA_117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month'!$W$126,'BS by month'!$Y$126,'BS by month'!$AB$126</definedName>
    <definedName name="QB_FORMULA_117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month'!$W$126,'P&amp;L.by month'!$Y$126,'P&amp;L.by month'!$AB$126</definedName>
    <definedName name="QB_FORMULA_117" localSheetId="11" hidden="1">'P&amp;L.current'!$AW$124,'P&amp;L.current'!$AX$124,'P&amp;L.current'!$AY$124,'P&amp;L.current'!$AZ$124,'P&amp;L.current'!$BA$124,'P&amp;L.current'!$BB$124,'P&amp;L.current'!$BC$124,'P&amp;L.current'!$BD$124,'P&amp;L.current'!$BE$124,'P&amp;L.current'!$BF$124,'P&amp;L.current'!$BG$124,'P&amp;L.current'!$BH$124,'P&amp;L.current'!$BI$124,'P&amp;L.current'!$W$126,'P&amp;L.current'!$Y$126,'P&amp;L.current'!$AB$126</definedName>
    <definedName name="QB_FORMULA_117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$W$126,'P&amp;L.prior'!$Y$126,'P&amp;L.prior'!$AB$126</definedName>
    <definedName name="QB_FORMULA_118" localSheetId="10" hidden="1">'BS by month'!$AF$126,'BS by month'!#REF!,'BS by month'!#REF!,'BS by month'!#REF!,'BS by month'!#REF!,'BS by month'!#REF!,'BS by month'!$W$127,'BS by month'!$Y$127,'BS by month'!$AB$127,'BS by month'!$AF$127,'BS by month'!#REF!,'BS by month'!#REF!,'BS by month'!#REF!,'BS by month'!#REF!,'BS by month'!#REF!,'BS by month'!$W$128</definedName>
    <definedName name="QB_FORMULA_118" localSheetId="13" hidden="1">'P&amp;L.by month'!$AF$126,'P&amp;L.by month'!#REF!,'P&amp;L.by month'!#REF!,'P&amp;L.by month'!#REF!,'P&amp;L.by month'!#REF!,'P&amp;L.by month'!#REF!,'P&amp;L.by month'!$W$127,'P&amp;L.by month'!$Y$127,'P&amp;L.by month'!$AB$127,'P&amp;L.by month'!$AF$127,'P&amp;L.by month'!#REF!,'P&amp;L.by month'!#REF!,'P&amp;L.by month'!#REF!,'P&amp;L.by month'!#REF!,'P&amp;L.by month'!#REF!,'P&amp;L.by month'!$W$128</definedName>
    <definedName name="QB_FORMULA_118" localSheetId="11" hidden="1">'P&amp;L.current'!$AF$126,'P&amp;L.current'!$AR$126,'P&amp;L.current'!$AX$126,'P&amp;L.current'!$AZ$126,'P&amp;L.current'!$BG$126,'P&amp;L.current'!$BI$126,'P&amp;L.current'!$W$127,'P&amp;L.current'!$Y$127,'P&amp;L.current'!$AB$127,'P&amp;L.current'!$AF$127,'P&amp;L.current'!$AR$127,'P&amp;L.current'!$AX$127,'P&amp;L.current'!$AZ$127,'P&amp;L.current'!$BG$127,'P&amp;L.current'!$BI$127,'P&amp;L.current'!$W$128</definedName>
    <definedName name="QB_FORMULA_118" localSheetId="12" hidden="1">'P&amp;L.prior'!$AF$126,'P&amp;L.prior'!#REF!,'P&amp;L.prior'!#REF!,'P&amp;L.prior'!#REF!,'P&amp;L.prior'!#REF!,'P&amp;L.prior'!#REF!,'P&amp;L.prior'!$W$127,'P&amp;L.prior'!$Y$127,'P&amp;L.prior'!$AB$127,'P&amp;L.prior'!$AF$127,'P&amp;L.prior'!#REF!,'P&amp;L.prior'!#REF!,'P&amp;L.prior'!#REF!,'P&amp;L.prior'!#REF!,'P&amp;L.prior'!#REF!,'P&amp;L.prior'!$W$128</definedName>
    <definedName name="QB_FORMULA_119" localSheetId="10" hidden="1">'BS by month'!$Y$128,'BS by month'!$AB$128,'BS by month'!$AF$128,'BS by month'!#REF!,'BS by month'!#REF!,'BS by month'!#REF!,'BS by month'!#REF!,'BS by month'!#REF!,'BS by month'!$W$129,'BS by month'!$Y$129,'BS by month'!$AB$129,'BS by month'!$AF$129,'BS by month'!#REF!,'BS by month'!#REF!,'BS by month'!#REF!,'BS by month'!#REF!</definedName>
    <definedName name="QB_FORMULA_119" localSheetId="13" hidden="1">'P&amp;L.by month'!$Y$128,'P&amp;L.by month'!$AB$128,'P&amp;L.by month'!$AF$128,'P&amp;L.by month'!#REF!,'P&amp;L.by month'!#REF!,'P&amp;L.by month'!#REF!,'P&amp;L.by month'!#REF!,'P&amp;L.by month'!#REF!,'P&amp;L.by month'!$W$129,'P&amp;L.by month'!$Y$129,'P&amp;L.by month'!$AB$129,'P&amp;L.by month'!$AF$129,'P&amp;L.by month'!#REF!,'P&amp;L.by month'!#REF!,'P&amp;L.by month'!#REF!,'P&amp;L.by month'!#REF!</definedName>
    <definedName name="QB_FORMULA_119" localSheetId="11" hidden="1">'P&amp;L.current'!$Y$128,'P&amp;L.current'!$AB$128,'P&amp;L.current'!$AF$128,'P&amp;L.current'!$AR$128,'P&amp;L.current'!$AX$128,'P&amp;L.current'!$AZ$128,'P&amp;L.current'!$BG$128,'P&amp;L.current'!$BI$128,'P&amp;L.current'!$W$129,'P&amp;L.current'!$Y$129,'P&amp;L.current'!$AB$129,'P&amp;L.current'!$AF$129,'P&amp;L.current'!$AR$129,'P&amp;L.current'!$AX$129,'P&amp;L.current'!$AZ$129,'P&amp;L.current'!$BG$129</definedName>
    <definedName name="QB_FORMULA_119" localSheetId="12" hidden="1">'P&amp;L.prior'!$Y$128,'P&amp;L.prior'!$AB$128,'P&amp;L.prior'!$AF$128,'P&amp;L.prior'!#REF!,'P&amp;L.prior'!#REF!,'P&amp;L.prior'!#REF!,'P&amp;L.prior'!#REF!,'P&amp;L.prior'!#REF!,'P&amp;L.prior'!$W$129,'P&amp;L.prior'!$Y$129,'P&amp;L.prior'!$AB$129,'P&amp;L.prior'!$AF$129,'P&amp;L.prior'!#REF!,'P&amp;L.prior'!#REF!,'P&amp;L.prior'!#REF!,'P&amp;L.prior'!#REF!</definedName>
    <definedName name="QB_FORMULA_12" localSheetId="10" hidden="1">'BS by month'!#REF!,'BS by month'!#REF!,'BS by month'!#REF!,'BS by month'!#REF!,'BS by month'!$I$21,'BS by month'!$J$21,'BS by month'!$K$21,'BS by month'!$L$21,'BS by month'!$M$21,'BS by month'!$N$21,'BS by month'!$O$21,'BS by month'!$P$21,'BS by month'!$Q$21,'BS by month'!$R$21,'BS by month'!$S$21,'BS by month'!$T$21</definedName>
    <definedName name="QB_FORMULA_12" localSheetId="13" hidden="1">'P&amp;L.by month'!#REF!,'P&amp;L.by month'!#REF!,'P&amp;L.by month'!#REF!,'P&amp;L.by month'!#REF!,'P&amp;L.by month'!$I$21,'P&amp;L.by month'!$J$21,'P&amp;L.by month'!$K$21,'P&amp;L.by month'!$L$21,'P&amp;L.by month'!$M$21,'P&amp;L.by month'!$N$21,'P&amp;L.by month'!$O$21,'P&amp;L.by month'!$P$21,'P&amp;L.by month'!$Q$21,'P&amp;L.by month'!$R$21,'P&amp;L.by month'!$S$21,'P&amp;L.by month'!$T$21</definedName>
    <definedName name="QB_FORMULA_12" localSheetId="11" hidden="1">'P&amp;L.current'!$AX$20,'P&amp;L.current'!$AZ$20,'P&amp;L.current'!$BG$20,'P&amp;L.current'!$BI$20,'P&amp;L.current'!$I$21,'P&amp;L.current'!$J$21,'P&amp;L.current'!$K$21,'P&amp;L.current'!$L$21,'P&amp;L.current'!$M$21,'P&amp;L.current'!$N$21,'P&amp;L.current'!$O$21,'P&amp;L.current'!$P$21,'P&amp;L.current'!$Q$21,'P&amp;L.current'!$R$21,'P&amp;L.current'!$S$21,'P&amp;L.current'!$T$21</definedName>
    <definedName name="QB_FORMULA_12" localSheetId="12" hidden="1">'P&amp;L.prior'!#REF!,'P&amp;L.prior'!#REF!,'P&amp;L.prior'!#REF!,'P&amp;L.prior'!#REF!,'P&amp;L.prior'!$I$21,'P&amp;L.prior'!$J$21,'P&amp;L.prior'!$K$21,'P&amp;L.prior'!$L$21,'P&amp;L.prior'!$M$21,'P&amp;L.prior'!$N$21,'P&amp;L.prior'!$O$21,'P&amp;L.prior'!$P$21,'P&amp;L.prior'!$Q$21,'P&amp;L.prior'!$R$21,'P&amp;L.prior'!$S$21,'P&amp;L.prior'!$T$21</definedName>
    <definedName name="QB_FORMULA_120" localSheetId="10" hidden="1">'BS by month'!#REF!,'BS by month'!$W$130,'BS by month'!$Y$130,'BS by month'!$AB$130,'BS by month'!$AF$130,'BS by month'!#REF!,'BS by month'!#REF!,'BS by month'!#REF!,'BS by month'!#REF!,'BS by month'!#REF!,'BS by month'!$W$131,'BS by month'!$Y$131,'BS by month'!$AB$131,'BS by month'!$AF$131,'BS by month'!#REF!,'BS by month'!#REF!</definedName>
    <definedName name="QB_FORMULA_120" localSheetId="13" hidden="1">'P&amp;L.by month'!#REF!,'P&amp;L.by month'!$W$130,'P&amp;L.by month'!$Y$130,'P&amp;L.by month'!$AB$130,'P&amp;L.by month'!$AF$130,'P&amp;L.by month'!#REF!,'P&amp;L.by month'!#REF!,'P&amp;L.by month'!#REF!,'P&amp;L.by month'!#REF!,'P&amp;L.by month'!#REF!,'P&amp;L.by month'!$W$131,'P&amp;L.by month'!$Y$131,'P&amp;L.by month'!$AB$131,'P&amp;L.by month'!$AF$131,'P&amp;L.by month'!#REF!,'P&amp;L.by month'!#REF!</definedName>
    <definedName name="QB_FORMULA_120" localSheetId="11" hidden="1">'P&amp;L.current'!$BI$129,'P&amp;L.current'!$W$130,'P&amp;L.current'!$Y$130,'P&amp;L.current'!$AB$130,'P&amp;L.current'!$AF$130,'P&amp;L.current'!$AR$130,'P&amp;L.current'!$AX$130,'P&amp;L.current'!$AZ$130,'P&amp;L.current'!$BG$130,'P&amp;L.current'!$BI$130,'P&amp;L.current'!$W$131,'P&amp;L.current'!$Y$131,'P&amp;L.current'!$AB$131,'P&amp;L.current'!$AF$131,'P&amp;L.current'!$AR$131,'P&amp;L.current'!$AX$131</definedName>
    <definedName name="QB_FORMULA_120" localSheetId="12" hidden="1">'P&amp;L.prior'!#REF!,'P&amp;L.prior'!$W$130,'P&amp;L.prior'!$Y$130,'P&amp;L.prior'!$AB$130,'P&amp;L.prior'!$AF$130,'P&amp;L.prior'!#REF!,'P&amp;L.prior'!#REF!,'P&amp;L.prior'!#REF!,'P&amp;L.prior'!#REF!,'P&amp;L.prior'!#REF!,'P&amp;L.prior'!$W$131,'P&amp;L.prior'!$Y$131,'P&amp;L.prior'!$AB$131,'P&amp;L.prior'!$AF$131,'P&amp;L.prior'!#REF!,'P&amp;L.prior'!#REF!</definedName>
    <definedName name="QB_FORMULA_121" localSheetId="10" hidden="1">'BS by month'!#REF!,'BS by month'!#REF!,'BS by month'!#REF!,'BS by month'!$W$132,'BS by month'!$Y$132,'BS by month'!$AB$132,'BS by month'!$AF$132,'BS by month'!#REF!,'BS by month'!#REF!,'BS by month'!#REF!,'BS by month'!#REF!,'BS by month'!#REF!,'BS by month'!$W$133,'BS by month'!$Y$133,'BS by month'!$AB$133,'BS by month'!$AF$133</definedName>
    <definedName name="QB_FORMULA_121" localSheetId="13" hidden="1">'P&amp;L.by month'!#REF!,'P&amp;L.by month'!#REF!,'P&amp;L.by month'!#REF!,'P&amp;L.by month'!$W$132,'P&amp;L.by month'!$Y$132,'P&amp;L.by month'!$AB$132,'P&amp;L.by month'!$AF$132,'P&amp;L.by month'!#REF!,'P&amp;L.by month'!#REF!,'P&amp;L.by month'!#REF!,'P&amp;L.by month'!#REF!,'P&amp;L.by month'!#REF!,'P&amp;L.by month'!$W$133,'P&amp;L.by month'!$Y$133,'P&amp;L.by month'!$AB$133,'P&amp;L.by month'!$AF$133</definedName>
    <definedName name="QB_FORMULA_121" localSheetId="11" hidden="1">'P&amp;L.current'!$AZ$131,'P&amp;L.current'!$BG$131,'P&amp;L.current'!$BI$131,'P&amp;L.current'!$W$132,'P&amp;L.current'!$Y$132,'P&amp;L.current'!$AB$132,'P&amp;L.current'!$AF$132,'P&amp;L.current'!$AR$132,'P&amp;L.current'!$AX$132,'P&amp;L.current'!$AZ$132,'P&amp;L.current'!$BG$132,'P&amp;L.current'!$BI$132,'P&amp;L.current'!$W$133,'P&amp;L.current'!$Y$133,'P&amp;L.current'!$AB$133,'P&amp;L.current'!$AF$133</definedName>
    <definedName name="QB_FORMULA_121" localSheetId="12" hidden="1">'P&amp;L.prior'!#REF!,'P&amp;L.prior'!#REF!,'P&amp;L.prior'!#REF!,'P&amp;L.prior'!$W$132,'P&amp;L.prior'!$Y$132,'P&amp;L.prior'!$AB$132,'P&amp;L.prior'!$AF$132,'P&amp;L.prior'!#REF!,'P&amp;L.prior'!#REF!,'P&amp;L.prior'!#REF!,'P&amp;L.prior'!#REF!,'P&amp;L.prior'!#REF!,'P&amp;L.prior'!$W$133,'P&amp;L.prior'!$Y$133,'P&amp;L.prior'!$AB$133,'P&amp;L.prior'!$AF$133</definedName>
    <definedName name="QB_FORMULA_122" localSheetId="10" hidden="1">'BS by month'!#REF!,'BS by month'!#REF!,'BS by month'!#REF!,'BS by month'!#REF!,'BS by month'!#REF!,'BS by month'!$I$134,'BS by month'!$J$134,'BS by month'!$K$134,'BS by month'!$L$134,'BS by month'!$M$134,'BS by month'!$N$134,'BS by month'!$O$134,'BS by month'!$P$134,'BS by month'!$Q$134,'BS by month'!$R$134,'BS by month'!$S$134</definedName>
    <definedName name="QB_FORMULA_122" localSheetId="13" hidden="1">'P&amp;L.by month'!#REF!,'P&amp;L.by month'!#REF!,'P&amp;L.by month'!#REF!,'P&amp;L.by month'!#REF!,'P&amp;L.by month'!#REF!,'P&amp;L.by month'!$I$134,'P&amp;L.by month'!$J$134,'P&amp;L.by month'!$K$134,'P&amp;L.by month'!$L$134,'P&amp;L.by month'!$M$134,'P&amp;L.by month'!$N$134,'P&amp;L.by month'!$O$134,'P&amp;L.by month'!$P$134,'P&amp;L.by month'!$Q$134,'P&amp;L.by month'!$R$134,'P&amp;L.by month'!$S$134</definedName>
    <definedName name="QB_FORMULA_122" localSheetId="11" hidden="1">'P&amp;L.current'!$AR$133,'P&amp;L.current'!$AX$133,'P&amp;L.current'!$AZ$133,'P&amp;L.current'!$BG$133,'P&amp;L.current'!$BI$133,'P&amp;L.current'!$I$134,'P&amp;L.current'!$J$134,'P&amp;L.current'!$K$134,'P&amp;L.current'!$L$134,'P&amp;L.current'!$M$134,'P&amp;L.current'!$N$134,'P&amp;L.current'!$O$134,'P&amp;L.current'!$P$134,'P&amp;L.current'!$Q$134,'P&amp;L.current'!$R$134,'P&amp;L.current'!$S$134</definedName>
    <definedName name="QB_FORMULA_122" localSheetId="12" hidden="1">'P&amp;L.prior'!#REF!,'P&amp;L.prior'!#REF!,'P&amp;L.prior'!#REF!,'P&amp;L.prior'!#REF!,'P&amp;L.prior'!#REF!,'P&amp;L.prior'!$I$134,'P&amp;L.prior'!$J$134,'P&amp;L.prior'!$K$134,'P&amp;L.prior'!$L$134,'P&amp;L.prior'!$M$134,'P&amp;L.prior'!$N$134,'P&amp;L.prior'!$O$134,'P&amp;L.prior'!$P$134,'P&amp;L.prior'!$Q$134,'P&amp;L.prior'!$R$134,'P&amp;L.prior'!$S$134</definedName>
    <definedName name="QB_FORMULA_123" localSheetId="10" hidden="1">'BS by month'!$T$134,'BS by month'!$U$134,'BS by month'!$V$134,'BS by month'!$W$134,'BS by month'!$X$134,'BS by month'!$Y$134,'BS by month'!$Z$134,'BS by month'!$AA$134,'BS by month'!$AB$134,'BS by month'!$AC$134,'BS by month'!$AD$134,'BS by month'!$AE$134,'BS by month'!$AF$134,'BS by month'!$AG$134,'BS by month'!$AH$134,'BS by month'!$AI$134</definedName>
    <definedName name="QB_FORMULA_123" localSheetId="13" hidden="1">'P&amp;L.by month'!$T$134,'P&amp;L.by month'!$U$134,'P&amp;L.by month'!$V$134,'P&amp;L.by month'!$W$134,'P&amp;L.by month'!$X$134,'P&amp;L.by month'!$Y$134,'P&amp;L.by month'!$Z$134,'P&amp;L.by month'!$AA$134,'P&amp;L.by month'!$AB$134,'P&amp;L.by month'!$AC$134,'P&amp;L.by month'!$AD$134,'P&amp;L.by month'!$AE$134,'P&amp;L.by month'!$AF$134,'P&amp;L.by month'!$AG$134,'P&amp;L.by month'!$AH$134,'P&amp;L.by month'!$AI$134</definedName>
    <definedName name="QB_FORMULA_123" localSheetId="11" hidden="1">'P&amp;L.current'!$T$134,'P&amp;L.current'!$U$134,'P&amp;L.current'!$V$134,'P&amp;L.current'!$W$134,'P&amp;L.current'!$X$134,'P&amp;L.current'!$Y$134,'P&amp;L.current'!$Z$134,'P&amp;L.current'!$AA$134,'P&amp;L.current'!$AB$134,'P&amp;L.current'!$AC$134,'P&amp;L.current'!$AD$134,'P&amp;L.current'!$AE$134,'P&amp;L.current'!$AF$134,'P&amp;L.current'!$AG$134,'P&amp;L.current'!$AH$134,'P&amp;L.current'!$AI$134</definedName>
    <definedName name="QB_FORMULA_123" localSheetId="12" hidden="1">'P&amp;L.prior'!$T$134,'P&amp;L.prior'!$U$134,'P&amp;L.prior'!$V$134,'P&amp;L.prior'!$W$134,'P&amp;L.prior'!$X$134,'P&amp;L.prior'!$Y$134,'P&amp;L.prior'!$Z$134,'P&amp;L.prior'!$AA$134,'P&amp;L.prior'!$AB$134,'P&amp;L.prior'!$AC$134,'P&amp;L.prior'!$AD$134,'P&amp;L.prior'!$AE$134,'P&amp;L.prior'!$AF$134,'P&amp;L.prior'!$AG$134,'P&amp;L.prior'!$AH$134,'P&amp;L.prior'!$AI$134</definedName>
    <definedName name="QB_FORMULA_124" localSheetId="10" hidden="1">'BS by month'!$AJ$134,'BS by month'!$AK$134,'BS by month'!$AL$134,'BS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24" localSheetId="13" hidden="1">'P&amp;L.by month'!$AJ$134,'P&amp;L.by month'!$AK$134,'P&amp;L.by month'!$AL$134,'P&amp;L.by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24" localSheetId="11" hidden="1">'P&amp;L.current'!$AJ$134,'P&amp;L.current'!$AK$134,'P&amp;L.current'!$AL$134,'P&amp;L.current'!$AM$134,'P&amp;L.current'!$AN$134,'P&amp;L.current'!$AO$134,'P&amp;L.current'!$AP$134,'P&amp;L.current'!$AQ$134,'P&amp;L.current'!$AR$134,'P&amp;L.current'!$AS$134,'P&amp;L.current'!$AT$134,'P&amp;L.current'!$AU$134,'P&amp;L.current'!$AV$134,'P&amp;L.current'!$AW$134,'P&amp;L.current'!$AX$134,'P&amp;L.current'!$AY$134</definedName>
    <definedName name="QB_FORMULA_124" localSheetId="12" hidden="1">'P&amp;L.prior'!$AJ$134,'P&amp;L.prior'!$AK$134,'P&amp;L.prior'!$AL$134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25" localSheetId="10" hidden="1">'BS by month'!#REF!,'BS by month'!#REF!,'BS by month'!#REF!,'BS by month'!#REF!,'BS by month'!#REF!,'BS by month'!#REF!,'BS by month'!#REF!,'BS by month'!#REF!,'BS by month'!#REF!,'BS by month'!#REF!,'BS by month'!$W$136,'BS by month'!$Y$136,'BS by month'!$AB$136,'BS by month'!$AF$136,'BS by month'!#REF!,'BS by month'!#REF!</definedName>
    <definedName name="QB_FORMULA_125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month'!$W$136,'P&amp;L.by month'!$Y$136,'P&amp;L.by month'!$AB$136,'P&amp;L.by month'!$AF$136,'P&amp;L.by month'!#REF!,'P&amp;L.by month'!#REF!</definedName>
    <definedName name="QB_FORMULA_125" localSheetId="11" hidden="1">'P&amp;L.current'!$AZ$134,'P&amp;L.current'!$BA$134,'P&amp;L.current'!$BB$134,'P&amp;L.current'!$BC$134,'P&amp;L.current'!$BD$134,'P&amp;L.current'!$BE$134,'P&amp;L.current'!$BF$134,'P&amp;L.current'!$BG$134,'P&amp;L.current'!$BH$134,'P&amp;L.current'!$BI$134,'P&amp;L.current'!$W$136,'P&amp;L.current'!$Y$136,'P&amp;L.current'!$AB$136,'P&amp;L.current'!$AF$136,'P&amp;L.current'!$AR$136,'P&amp;L.current'!$AX$136</definedName>
    <definedName name="QB_FORMULA_125" localSheetId="12" hidden="1">'P&amp;L.prior'!#REF!,'P&amp;L.prior'!#REF!,'P&amp;L.prior'!#REF!,'P&amp;L.prior'!#REF!,'P&amp;L.prior'!#REF!,'P&amp;L.prior'!#REF!,'P&amp;L.prior'!#REF!,'P&amp;L.prior'!#REF!,'P&amp;L.prior'!#REF!,'P&amp;L.prior'!#REF!,'P&amp;L.prior'!$W$136,'P&amp;L.prior'!$Y$136,'P&amp;L.prior'!$AB$136,'P&amp;L.prior'!$AF$136,'P&amp;L.prior'!#REF!,'P&amp;L.prior'!#REF!</definedName>
    <definedName name="QB_FORMULA_126" localSheetId="10" hidden="1">'BS by month'!#REF!,'BS by month'!#REF!,'BS by month'!#REF!,'BS by month'!$W$137,'BS by month'!$Y$137,'BS by month'!$AB$137,'BS by month'!$AF$137,'BS by month'!#REF!,'BS by month'!#REF!,'BS by month'!#REF!,'BS by month'!#REF!,'BS by month'!#REF!,'BS by month'!$W$138,'BS by month'!$Y$138,'BS by month'!$AB$138,'BS by month'!$AF$138</definedName>
    <definedName name="QB_FORMULA_126" localSheetId="13" hidden="1">'P&amp;L.by month'!#REF!,'P&amp;L.by month'!#REF!,'P&amp;L.by month'!#REF!,'P&amp;L.by month'!$W$137,'P&amp;L.by month'!$Y$137,'P&amp;L.by month'!$AB$137,'P&amp;L.by month'!$AF$137,'P&amp;L.by month'!#REF!,'P&amp;L.by month'!#REF!,'P&amp;L.by month'!#REF!,'P&amp;L.by month'!#REF!,'P&amp;L.by month'!#REF!,'P&amp;L.by month'!$W$138,'P&amp;L.by month'!$Y$138,'P&amp;L.by month'!$AB$138,'P&amp;L.by month'!$AF$138</definedName>
    <definedName name="QB_FORMULA_126" localSheetId="11" hidden="1">'P&amp;L.current'!$AZ$136,'P&amp;L.current'!$BG$136,'P&amp;L.current'!$BI$136,'P&amp;L.current'!$W$137,'P&amp;L.current'!$Y$137,'P&amp;L.current'!$AB$137,'P&amp;L.current'!$AF$137,'P&amp;L.current'!$AR$137,'P&amp;L.current'!$AX$137,'P&amp;L.current'!$AZ$137,'P&amp;L.current'!$BG$137,'P&amp;L.current'!$BI$137,'P&amp;L.current'!$W$138,'P&amp;L.current'!$Y$138,'P&amp;L.current'!$AB$138,'P&amp;L.current'!$AF$138</definedName>
    <definedName name="QB_FORMULA_126" localSheetId="12" hidden="1">'P&amp;L.prior'!#REF!,'P&amp;L.prior'!#REF!,'P&amp;L.prior'!#REF!,'P&amp;L.prior'!$W$137,'P&amp;L.prior'!$Y$137,'P&amp;L.prior'!$AB$137,'P&amp;L.prior'!$AF$137,'P&amp;L.prior'!#REF!,'P&amp;L.prior'!#REF!,'P&amp;L.prior'!#REF!,'P&amp;L.prior'!#REF!,'P&amp;L.prior'!#REF!,'P&amp;L.prior'!$W$138,'P&amp;L.prior'!$Y$138,'P&amp;L.prior'!$AB$138,'P&amp;L.prior'!$AF$138</definedName>
    <definedName name="QB_FORMULA_127" localSheetId="10" hidden="1">'BS by month'!#REF!,'BS by month'!#REF!,'BS by month'!#REF!,'BS by month'!#REF!,'BS by month'!#REF!,'BS by month'!$I$139,'BS by month'!$J$139,'BS by month'!$K$139,'BS by month'!$L$139,'BS by month'!$M$139,'BS by month'!$N$139,'BS by month'!$O$139,'BS by month'!$P$139,'BS by month'!$Q$139,'BS by month'!$R$139,'BS by month'!$S$139</definedName>
    <definedName name="QB_FORMULA_127" localSheetId="13" hidden="1">'P&amp;L.by month'!#REF!,'P&amp;L.by month'!#REF!,'P&amp;L.by month'!#REF!,'P&amp;L.by month'!#REF!,'P&amp;L.by month'!#REF!,'P&amp;L.by month'!$I$139,'P&amp;L.by month'!$J$139,'P&amp;L.by month'!$K$139,'P&amp;L.by month'!$L$139,'P&amp;L.by month'!$M$139,'P&amp;L.by month'!$N$139,'P&amp;L.by month'!$O$139,'P&amp;L.by month'!$P$139,'P&amp;L.by month'!$Q$139,'P&amp;L.by month'!$R$139,'P&amp;L.by month'!$S$139</definedName>
    <definedName name="QB_FORMULA_127" localSheetId="11" hidden="1">'P&amp;L.current'!$AR$138,'P&amp;L.current'!$AX$138,'P&amp;L.current'!$AZ$138,'P&amp;L.current'!$BG$138,'P&amp;L.current'!$BI$138,'P&amp;L.current'!$I$139,'P&amp;L.current'!$J$139,'P&amp;L.current'!$K$139,'P&amp;L.current'!$L$139,'P&amp;L.current'!$M$139,'P&amp;L.current'!$N$139,'P&amp;L.current'!$O$139,'P&amp;L.current'!$P$139,'P&amp;L.current'!$Q$139,'P&amp;L.current'!$R$139,'P&amp;L.current'!$S$139</definedName>
    <definedName name="QB_FORMULA_127" localSheetId="12" hidden="1">'P&amp;L.prior'!#REF!,'P&amp;L.prior'!#REF!,'P&amp;L.prior'!#REF!,'P&amp;L.prior'!#REF!,'P&amp;L.prior'!#REF!,'P&amp;L.prior'!$I$139,'P&amp;L.prior'!$J$139,'P&amp;L.prior'!$K$139,'P&amp;L.prior'!$L$139,'P&amp;L.prior'!$M$139,'P&amp;L.prior'!$N$139,'P&amp;L.prior'!$O$139,'P&amp;L.prior'!$P$139,'P&amp;L.prior'!$Q$139,'P&amp;L.prior'!$R$139,'P&amp;L.prior'!$S$139</definedName>
    <definedName name="QB_FORMULA_128" localSheetId="10" hidden="1">'BS by month'!$T$139,'BS by month'!$U$139,'BS by month'!$V$139,'BS by month'!$W$139,'BS by month'!$X$139,'BS by month'!$Y$139,'BS by month'!$Z$139,'BS by month'!$AA$139,'BS by month'!$AB$139,'BS by month'!$AC$139,'BS by month'!$AD$139,'BS by month'!$AE$139,'BS by month'!$AF$139,'BS by month'!$AG$139,'BS by month'!$AH$139,'BS by month'!$AI$139</definedName>
    <definedName name="QB_FORMULA_128" localSheetId="13" hidden="1">'P&amp;L.by month'!$T$139,'P&amp;L.by month'!$U$139,'P&amp;L.by month'!$V$139,'P&amp;L.by month'!$W$139,'P&amp;L.by month'!$X$139,'P&amp;L.by month'!$Y$139,'P&amp;L.by month'!$Z$139,'P&amp;L.by month'!$AA$139,'P&amp;L.by month'!$AB$139,'P&amp;L.by month'!$AC$139,'P&amp;L.by month'!$AD$139,'P&amp;L.by month'!$AE$139,'P&amp;L.by month'!$AF$139,'P&amp;L.by month'!$AG$139,'P&amp;L.by month'!$AH$139,'P&amp;L.by month'!$AI$139</definedName>
    <definedName name="QB_FORMULA_128" localSheetId="11" hidden="1">'P&amp;L.current'!$T$139,'P&amp;L.current'!$U$139,'P&amp;L.current'!$V$139,'P&amp;L.current'!$W$139,'P&amp;L.current'!$X$139,'P&amp;L.current'!$Y$139,'P&amp;L.current'!$Z$139,'P&amp;L.current'!$AA$139,'P&amp;L.current'!$AB$139,'P&amp;L.current'!$AC$139,'P&amp;L.current'!$AD$139,'P&amp;L.current'!$AE$139,'P&amp;L.current'!$AF$139,'P&amp;L.current'!$AG$139,'P&amp;L.current'!$AH$139,'P&amp;L.current'!$AI$139</definedName>
    <definedName name="QB_FORMULA_128" localSheetId="12" hidden="1">'P&amp;L.prior'!$T$139,'P&amp;L.prior'!$U$139,'P&amp;L.prior'!$V$139,'P&amp;L.prior'!$W$139,'P&amp;L.prior'!$X$139,'P&amp;L.prior'!$Y$139,'P&amp;L.prior'!$Z$139,'P&amp;L.prior'!$AA$139,'P&amp;L.prior'!$AB$139,'P&amp;L.prior'!$AC$139,'P&amp;L.prior'!$AD$139,'P&amp;L.prior'!$AE$139,'P&amp;L.prior'!$AF$139,'P&amp;L.prior'!$AG$139,'P&amp;L.prior'!$AH$139,'P&amp;L.prior'!$AI$139</definedName>
    <definedName name="QB_FORMULA_129" localSheetId="10" hidden="1">'BS by month'!$AJ$139,'BS by month'!$AK$139,'BS by month'!$AL$139,'BS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29" localSheetId="13" hidden="1">'P&amp;L.by month'!$AJ$139,'P&amp;L.by month'!$AK$139,'P&amp;L.by month'!$AL$139,'P&amp;L.by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29" localSheetId="11" hidden="1">'P&amp;L.current'!$AJ$139,'P&amp;L.current'!$AK$139,'P&amp;L.current'!$AL$139,'P&amp;L.current'!$AM$139,'P&amp;L.current'!$AN$139,'P&amp;L.current'!$AO$139,'P&amp;L.current'!$AP$139,'P&amp;L.current'!$AQ$139,'P&amp;L.current'!$AR$139,'P&amp;L.current'!$AS$139,'P&amp;L.current'!$AT$139,'P&amp;L.current'!$AU$139,'P&amp;L.current'!$AV$139,'P&amp;L.current'!$AW$139,'P&amp;L.current'!$AX$139,'P&amp;L.current'!$AY$139</definedName>
    <definedName name="QB_FORMULA_129" localSheetId="12" hidden="1">'P&amp;L.prior'!$AJ$139,'P&amp;L.prior'!$AK$139,'P&amp;L.prior'!$AL$139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3" localSheetId="10" hidden="1">'BS by month'!$U$21,'BS by month'!$V$21,'BS by month'!$W$21,'BS by month'!$X$21,'BS by month'!$Y$21,'BS by month'!$Z$21,'BS by month'!$AA$21,'BS by month'!$AB$21,'BS by month'!$AC$21,'BS by month'!$AD$21,'BS by month'!$AE$21,'BS by month'!$AF$21,'BS by month'!$AG$21,'BS by month'!$AH$21,'BS by month'!$AI$21,'BS by month'!$AJ$21</definedName>
    <definedName name="QB_FORMULA_13" localSheetId="13" hidden="1">'P&amp;L.by month'!$U$21,'P&amp;L.by month'!$V$21,'P&amp;L.by month'!$W$21,'P&amp;L.by month'!$X$21,'P&amp;L.by month'!$Y$21,'P&amp;L.by month'!$Z$21,'P&amp;L.by month'!$AA$21,'P&amp;L.by month'!$AB$21,'P&amp;L.by month'!$AC$21,'P&amp;L.by month'!$AD$21,'P&amp;L.by month'!$AE$21,'P&amp;L.by month'!$AF$21,'P&amp;L.by month'!$AG$21,'P&amp;L.by month'!$AH$21,'P&amp;L.by month'!$AI$21,'P&amp;L.by month'!$AJ$21</definedName>
    <definedName name="QB_FORMULA_13" localSheetId="11" hidden="1">'P&amp;L.current'!$U$21,'P&amp;L.current'!$V$21,'P&amp;L.current'!$W$21,'P&amp;L.current'!$X$21,'P&amp;L.current'!$Y$21,'P&amp;L.current'!$Z$21,'P&amp;L.current'!$AA$21,'P&amp;L.current'!$AB$21,'P&amp;L.current'!$AC$21,'P&amp;L.current'!$AD$21,'P&amp;L.current'!$AE$21,'P&amp;L.current'!$AF$21,'P&amp;L.current'!$AG$21,'P&amp;L.current'!$AH$21,'P&amp;L.current'!$AI$21,'P&amp;L.current'!$AJ$21</definedName>
    <definedName name="QB_FORMULA_13" localSheetId="12" hidden="1">'P&amp;L.prior'!$U$21,'P&amp;L.prior'!$V$21,'P&amp;L.prior'!$W$21,'P&amp;L.prior'!$X$21,'P&amp;L.prior'!$Y$21,'P&amp;L.prior'!$Z$21,'P&amp;L.prior'!$AA$21,'P&amp;L.prior'!$AB$21,'P&amp;L.prior'!$AC$21,'P&amp;L.prior'!$AD$21,'P&amp;L.prior'!$AE$21,'P&amp;L.prior'!$AF$21,'P&amp;L.prior'!$AG$21,'P&amp;L.prior'!$AH$21,'P&amp;L.prior'!$AI$21,'P&amp;L.prior'!$AJ$21</definedName>
    <definedName name="QB_FORMULA_130" localSheetId="10" hidden="1">'BS by month'!#REF!,'BS by month'!#REF!,'BS by month'!#REF!,'BS by month'!#REF!,'BS by month'!#REF!,'BS by month'!#REF!,'BS by month'!#REF!,'BS by month'!#REF!,'BS by month'!#REF!,'BS by month'!#REF!,'BS by month'!$W$141,'BS by month'!$Y$141,'BS by month'!$AB$141,'BS by month'!$AF$141,'BS by month'!#REF!,'BS by month'!#REF!</definedName>
    <definedName name="QB_FORMULA_130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month'!$W$141,'P&amp;L.by month'!$Y$141,'P&amp;L.by month'!$AB$141,'P&amp;L.by month'!$AF$141,'P&amp;L.by month'!#REF!,'P&amp;L.by month'!#REF!</definedName>
    <definedName name="QB_FORMULA_130" localSheetId="11" hidden="1">'P&amp;L.current'!$AZ$139,'P&amp;L.current'!$BA$139,'P&amp;L.current'!$BB$139,'P&amp;L.current'!$BC$139,'P&amp;L.current'!$BD$139,'P&amp;L.current'!$BE$139,'P&amp;L.current'!$BF$139,'P&amp;L.current'!$BG$139,'P&amp;L.current'!$BH$139,'P&amp;L.current'!$BI$139,'P&amp;L.current'!$W$141,'P&amp;L.current'!$Y$141,'P&amp;L.current'!$AB$141,'P&amp;L.current'!$AF$141,'P&amp;L.current'!$AR$141,'P&amp;L.current'!$AX$141</definedName>
    <definedName name="QB_FORMULA_130" localSheetId="12" hidden="1">'P&amp;L.prior'!#REF!,'P&amp;L.prior'!#REF!,'P&amp;L.prior'!#REF!,'P&amp;L.prior'!#REF!,'P&amp;L.prior'!#REF!,'P&amp;L.prior'!#REF!,'P&amp;L.prior'!#REF!,'P&amp;L.prior'!#REF!,'P&amp;L.prior'!#REF!,'P&amp;L.prior'!#REF!,'P&amp;L.prior'!$W$141,'P&amp;L.prior'!$Y$141,'P&amp;L.prior'!$AB$141,'P&amp;L.prior'!$AF$141,'P&amp;L.prior'!#REF!,'P&amp;L.prior'!#REF!</definedName>
    <definedName name="QB_FORMULA_131" localSheetId="10" hidden="1">'BS by month'!#REF!,'BS by month'!#REF!,'BS by month'!#REF!,'BS by month'!$W$142,'BS by month'!$Y$142,'BS by month'!$AB$142,'BS by month'!$AF$142,'BS by month'!#REF!,'BS by month'!#REF!,'BS by month'!#REF!,'BS by month'!#REF!,'BS by month'!#REF!,'BS by month'!$W$143,'BS by month'!$Y$143,'BS by month'!$AB$143,'BS by month'!$AF$143</definedName>
    <definedName name="QB_FORMULA_131" localSheetId="13" hidden="1">'P&amp;L.by month'!#REF!,'P&amp;L.by month'!#REF!,'P&amp;L.by month'!#REF!,'P&amp;L.by month'!$W$142,'P&amp;L.by month'!$Y$142,'P&amp;L.by month'!$AB$142,'P&amp;L.by month'!$AF$142,'P&amp;L.by month'!#REF!,'P&amp;L.by month'!#REF!,'P&amp;L.by month'!#REF!,'P&amp;L.by month'!#REF!,'P&amp;L.by month'!#REF!,'P&amp;L.by month'!$W$143,'P&amp;L.by month'!$Y$143,'P&amp;L.by month'!$AB$143,'P&amp;L.by month'!$AF$143</definedName>
    <definedName name="QB_FORMULA_131" localSheetId="11" hidden="1">'P&amp;L.current'!$AZ$141,'P&amp;L.current'!$BG$141,'P&amp;L.current'!$BI$141,'P&amp;L.current'!$W$142,'P&amp;L.current'!$Y$142,'P&amp;L.current'!$AB$142,'P&amp;L.current'!$AF$142,'P&amp;L.current'!$AR$142,'P&amp;L.current'!$AX$142,'P&amp;L.current'!$AZ$142,'P&amp;L.current'!$BG$142,'P&amp;L.current'!$BI$142,'P&amp;L.current'!$W$143,'P&amp;L.current'!$Y$143,'P&amp;L.current'!$AB$143,'P&amp;L.current'!$AF$143</definedName>
    <definedName name="QB_FORMULA_131" localSheetId="12" hidden="1">'P&amp;L.prior'!#REF!,'P&amp;L.prior'!#REF!,'P&amp;L.prior'!#REF!,'P&amp;L.prior'!$W$142,'P&amp;L.prior'!$Y$142,'P&amp;L.prior'!$AB$142,'P&amp;L.prior'!$AF$142,'P&amp;L.prior'!#REF!,'P&amp;L.prior'!#REF!,'P&amp;L.prior'!#REF!,'P&amp;L.prior'!#REF!,'P&amp;L.prior'!#REF!,'P&amp;L.prior'!$W$143,'P&amp;L.prior'!$Y$143,'P&amp;L.prior'!$AB$143,'P&amp;L.prior'!$AF$143</definedName>
    <definedName name="QB_FORMULA_132" localSheetId="10" hidden="1">'BS by month'!#REF!,'BS by month'!#REF!,'BS by month'!#REF!,'BS by month'!#REF!,'BS by month'!#REF!,'BS by month'!$W$144,'BS by month'!$Y$144,'BS by month'!$AB$144,'BS by month'!$AF$144,'BS by month'!#REF!,'BS by month'!#REF!,'BS by month'!#REF!,'BS by month'!#REF!,'BS by month'!#REF!,'BS by month'!$I$145,'BS by month'!$J$145</definedName>
    <definedName name="QB_FORMULA_132" localSheetId="13" hidden="1">'P&amp;L.by month'!#REF!,'P&amp;L.by month'!#REF!,'P&amp;L.by month'!#REF!,'P&amp;L.by month'!#REF!,'P&amp;L.by month'!#REF!,'P&amp;L.by month'!$W$144,'P&amp;L.by month'!$Y$144,'P&amp;L.by month'!$AB$144,'P&amp;L.by month'!$AF$144,'P&amp;L.by month'!#REF!,'P&amp;L.by month'!#REF!,'P&amp;L.by month'!#REF!,'P&amp;L.by month'!#REF!,'P&amp;L.by month'!#REF!,'P&amp;L.by month'!$I$145,'P&amp;L.by month'!$J$145</definedName>
    <definedName name="QB_FORMULA_132" localSheetId="11" hidden="1">'P&amp;L.current'!$AR$143,'P&amp;L.current'!$AX$143,'P&amp;L.current'!$AZ$143,'P&amp;L.current'!$BG$143,'P&amp;L.current'!$BI$143,'P&amp;L.current'!$W$144,'P&amp;L.current'!$Y$144,'P&amp;L.current'!$AB$144,'P&amp;L.current'!$AF$144,'P&amp;L.current'!$AR$144,'P&amp;L.current'!$AX$144,'P&amp;L.current'!$AZ$144,'P&amp;L.current'!$BG$144,'P&amp;L.current'!$BI$144,'P&amp;L.current'!$I$145,'P&amp;L.current'!$J$145</definedName>
    <definedName name="QB_FORMULA_132" localSheetId="12" hidden="1">'P&amp;L.prior'!#REF!,'P&amp;L.prior'!#REF!,'P&amp;L.prior'!#REF!,'P&amp;L.prior'!#REF!,'P&amp;L.prior'!#REF!,'P&amp;L.prior'!$W$144,'P&amp;L.prior'!$Y$144,'P&amp;L.prior'!$AB$144,'P&amp;L.prior'!$AF$144,'P&amp;L.prior'!#REF!,'P&amp;L.prior'!#REF!,'P&amp;L.prior'!#REF!,'P&amp;L.prior'!#REF!,'P&amp;L.prior'!#REF!,'P&amp;L.prior'!$I$145,'P&amp;L.prior'!$J$145</definedName>
    <definedName name="QB_FORMULA_133" localSheetId="10" hidden="1">'BS by month'!$K$145,'BS by month'!$L$145,'BS by month'!$M$145,'BS by month'!$N$145,'BS by month'!$O$145,'BS by month'!$P$145,'BS by month'!$Q$145,'BS by month'!$R$145,'BS by month'!$S$145,'BS by month'!$T$145,'BS by month'!$U$145,'BS by month'!$V$145,'BS by month'!$W$145,'BS by month'!$X$145,'BS by month'!$Y$145,'BS by month'!$Z$145</definedName>
    <definedName name="QB_FORMULA_133" localSheetId="13" hidden="1">'P&amp;L.by month'!$K$145,'P&amp;L.by month'!$L$145,'P&amp;L.by month'!$M$145,'P&amp;L.by month'!$N$145,'P&amp;L.by month'!$O$145,'P&amp;L.by month'!$P$145,'P&amp;L.by month'!$Q$145,'P&amp;L.by month'!$R$145,'P&amp;L.by month'!$S$145,'P&amp;L.by month'!$T$145,'P&amp;L.by month'!$U$145,'P&amp;L.by month'!$V$145,'P&amp;L.by month'!$W$145,'P&amp;L.by month'!$X$145,'P&amp;L.by month'!$Y$145,'P&amp;L.by month'!$Z$145</definedName>
    <definedName name="QB_FORMULA_133" localSheetId="11" hidden="1">'P&amp;L.current'!$K$145,'P&amp;L.current'!$L$145,'P&amp;L.current'!$M$145,'P&amp;L.current'!$N$145,'P&amp;L.current'!$O$145,'P&amp;L.current'!$P$145,'P&amp;L.current'!$Q$145,'P&amp;L.current'!$R$145,'P&amp;L.current'!$S$145,'P&amp;L.current'!$T$145,'P&amp;L.current'!$U$145,'P&amp;L.current'!$V$145,'P&amp;L.current'!$W$145,'P&amp;L.current'!$X$145,'P&amp;L.current'!$Y$145,'P&amp;L.current'!$Z$145</definedName>
    <definedName name="QB_FORMULA_133" localSheetId="12" hidden="1">'P&amp;L.prior'!$K$145,'P&amp;L.prior'!$L$145,'P&amp;L.prior'!$M$145,'P&amp;L.prior'!$N$145,'P&amp;L.prior'!$O$145,'P&amp;L.prior'!$P$145,'P&amp;L.prior'!$Q$145,'P&amp;L.prior'!$R$145,'P&amp;L.prior'!$S$145,'P&amp;L.prior'!$T$145,'P&amp;L.prior'!$U$145,'P&amp;L.prior'!$V$145,'P&amp;L.prior'!$W$145,'P&amp;L.prior'!$X$145,'P&amp;L.prior'!$Y$145,'P&amp;L.prior'!$Z$145</definedName>
    <definedName name="QB_FORMULA_134" localSheetId="10" hidden="1">'BS by month'!$AA$145,'BS by month'!$AB$145,'BS by month'!$AC$145,'BS by month'!$AD$145,'BS by month'!$AE$145,'BS by month'!$AF$145,'BS by month'!$AG$145,'BS by month'!$AH$145,'BS by month'!$AI$145,'BS by month'!$AJ$145,'BS by month'!$AK$145,'BS by month'!$AL$145,'BS by month'!#REF!,'BS by month'!#REF!,'BS by month'!#REF!,'BS by month'!#REF!</definedName>
    <definedName name="QB_FORMULA_134" localSheetId="13" hidden="1">'P&amp;L.by month'!$AA$145,'P&amp;L.by month'!$AB$145,'P&amp;L.by month'!$AC$145,'P&amp;L.by month'!$AD$145,'P&amp;L.by month'!$AE$145,'P&amp;L.by month'!$AF$145,'P&amp;L.by month'!$AG$145,'P&amp;L.by month'!$AH$145,'P&amp;L.by month'!$AI$145,'P&amp;L.by month'!$AJ$145,'P&amp;L.by month'!$AK$145,'P&amp;L.by month'!$AL$145,'P&amp;L.by month'!#REF!,'P&amp;L.by month'!#REF!,'P&amp;L.by month'!#REF!,'P&amp;L.by month'!#REF!</definedName>
    <definedName name="QB_FORMULA_134" localSheetId="11" hidden="1">'P&amp;L.current'!$AA$145,'P&amp;L.current'!$AB$145,'P&amp;L.current'!$AC$145,'P&amp;L.current'!$AD$145,'P&amp;L.current'!$AE$145,'P&amp;L.current'!$AF$145,'P&amp;L.current'!$AG$145,'P&amp;L.current'!$AH$145,'P&amp;L.current'!$AI$145,'P&amp;L.current'!$AJ$145,'P&amp;L.current'!$AK$145,'P&amp;L.current'!$AL$145,'P&amp;L.current'!$AM$145,'P&amp;L.current'!$AN$145,'P&amp;L.current'!$AO$145,'P&amp;L.current'!$AP$145</definedName>
    <definedName name="QB_FORMULA_134" localSheetId="12" hidden="1">'P&amp;L.prior'!$AA$145,'P&amp;L.prior'!$AB$145,'P&amp;L.prior'!$AC$145,'P&amp;L.prior'!$AD$145,'P&amp;L.prior'!$AE$145,'P&amp;L.prior'!$AF$145,'P&amp;L.prior'!$AG$145,'P&amp;L.prior'!$AH$145,'P&amp;L.prior'!$AI$145,'P&amp;L.prior'!$AJ$145,'P&amp;L.prior'!$AK$145,'P&amp;L.prior'!$AL$145,'P&amp;L.prior'!#REF!,'P&amp;L.prior'!#REF!,'P&amp;L.prior'!#REF!,'P&amp;L.prior'!#REF!</definedName>
    <definedName name="QB_FORMULA_135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35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35" localSheetId="11" hidden="1">'P&amp;L.current'!$AQ$145,'P&amp;L.current'!$AR$145,'P&amp;L.current'!$AS$145,'P&amp;L.current'!$AT$145,'P&amp;L.current'!$AU$145,'P&amp;L.current'!$AV$145,'P&amp;L.current'!$AW$145,'P&amp;L.current'!$AX$145,'P&amp;L.current'!$AY$145,'P&amp;L.current'!$AZ$145,'P&amp;L.current'!$BA$145,'P&amp;L.current'!$BB$145,'P&amp;L.current'!$BC$145,'P&amp;L.current'!$BD$145,'P&amp;L.current'!$BE$145,'P&amp;L.current'!$BF$145</definedName>
    <definedName name="QB_FORMULA_135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36" localSheetId="10" hidden="1">'BS by month'!#REF!,'BS by month'!#REF!,'BS by month'!#REF!,'BS by month'!$W$147,'BS by month'!$Y$147,'BS by month'!$AB$147,'BS by month'!$AF$147,'BS by month'!#REF!,'BS by month'!#REF!,'BS by month'!#REF!,'BS by month'!#REF!,'BS by month'!#REF!,'BS by month'!$W$148,'BS by month'!$Y$148,'BS by month'!$AB$148,'BS by month'!$AF$148</definedName>
    <definedName name="QB_FORMULA_136" localSheetId="13" hidden="1">'P&amp;L.by month'!#REF!,'P&amp;L.by month'!#REF!,'P&amp;L.by month'!#REF!,'P&amp;L.by month'!$W$147,'P&amp;L.by month'!$Y$147,'P&amp;L.by month'!$AB$147,'P&amp;L.by month'!$AF$147,'P&amp;L.by month'!#REF!,'P&amp;L.by month'!#REF!,'P&amp;L.by month'!#REF!,'P&amp;L.by month'!#REF!,'P&amp;L.by month'!#REF!,'P&amp;L.by month'!$W$148,'P&amp;L.by month'!$Y$148,'P&amp;L.by month'!$AB$148,'P&amp;L.by month'!$AF$148</definedName>
    <definedName name="QB_FORMULA_136" localSheetId="11" hidden="1">'P&amp;L.current'!$BG$145,'P&amp;L.current'!$BH$145,'P&amp;L.current'!$BI$145,'P&amp;L.current'!$W$147,'P&amp;L.current'!$Y$147,'P&amp;L.current'!$AB$147,'P&amp;L.current'!$AF$147,'P&amp;L.current'!$AR$147,'P&amp;L.current'!$AX$147,'P&amp;L.current'!$AZ$147,'P&amp;L.current'!$BG$147,'P&amp;L.current'!$BI$147,'P&amp;L.current'!$W$148,'P&amp;L.current'!$Y$148,'P&amp;L.current'!$AB$148,'P&amp;L.current'!$AF$148</definedName>
    <definedName name="QB_FORMULA_136" localSheetId="12" hidden="1">'P&amp;L.prior'!#REF!,'P&amp;L.prior'!#REF!,'P&amp;L.prior'!#REF!,'P&amp;L.prior'!$W$147,'P&amp;L.prior'!$Y$147,'P&amp;L.prior'!$AB$147,'P&amp;L.prior'!$AF$147,'P&amp;L.prior'!#REF!,'P&amp;L.prior'!#REF!,'P&amp;L.prior'!#REF!,'P&amp;L.prior'!#REF!,'P&amp;L.prior'!#REF!,'P&amp;L.prior'!$W$148,'P&amp;L.prior'!$Y$148,'P&amp;L.prior'!$AB$148,'P&amp;L.prior'!$AF$148</definedName>
    <definedName name="QB_FORMULA_137" localSheetId="10" hidden="1">'BS by month'!#REF!,'BS by month'!#REF!,'BS by month'!#REF!,'BS by month'!#REF!,'BS by month'!#REF!,'BS by month'!$W$149,'BS by month'!$Y$149,'BS by month'!$AB$149,'BS by month'!$AF$149,'BS by month'!#REF!,'BS by month'!#REF!,'BS by month'!#REF!,'BS by month'!#REF!,'BS by month'!#REF!,'BS by month'!$I$150,'BS by month'!$J$150</definedName>
    <definedName name="QB_FORMULA_137" localSheetId="13" hidden="1">'P&amp;L.by month'!#REF!,'P&amp;L.by month'!#REF!,'P&amp;L.by month'!#REF!,'P&amp;L.by month'!#REF!,'P&amp;L.by month'!#REF!,'P&amp;L.by month'!$W$149,'P&amp;L.by month'!$Y$149,'P&amp;L.by month'!$AB$149,'P&amp;L.by month'!$AF$149,'P&amp;L.by month'!#REF!,'P&amp;L.by month'!#REF!,'P&amp;L.by month'!#REF!,'P&amp;L.by month'!#REF!,'P&amp;L.by month'!#REF!,'P&amp;L.by month'!$I$150,'P&amp;L.by month'!$J$150</definedName>
    <definedName name="QB_FORMULA_137" localSheetId="11" hidden="1">'P&amp;L.current'!$AR$148,'P&amp;L.current'!$AX$148,'P&amp;L.current'!$AZ$148,'P&amp;L.current'!$BG$148,'P&amp;L.current'!$BI$148,'P&amp;L.current'!$W$149,'P&amp;L.current'!$Y$149,'P&amp;L.current'!$AB$149,'P&amp;L.current'!$AF$149,'P&amp;L.current'!$AR$149,'P&amp;L.current'!$AX$149,'P&amp;L.current'!$AZ$149,'P&amp;L.current'!$BG$149,'P&amp;L.current'!$BI$149,'P&amp;L.current'!$I$150,'P&amp;L.current'!$J$150</definedName>
    <definedName name="QB_FORMULA_137" localSheetId="12" hidden="1">'P&amp;L.prior'!#REF!,'P&amp;L.prior'!#REF!,'P&amp;L.prior'!#REF!,'P&amp;L.prior'!#REF!,'P&amp;L.prior'!#REF!,'P&amp;L.prior'!$W$149,'P&amp;L.prior'!$Y$149,'P&amp;L.prior'!$AB$149,'P&amp;L.prior'!$AF$149,'P&amp;L.prior'!#REF!,'P&amp;L.prior'!#REF!,'P&amp;L.prior'!#REF!,'P&amp;L.prior'!#REF!,'P&amp;L.prior'!#REF!,'P&amp;L.prior'!$I$150,'P&amp;L.prior'!$J$150</definedName>
    <definedName name="QB_FORMULA_138" localSheetId="10" hidden="1">'BS by month'!$K$150,'BS by month'!$L$150,'BS by month'!$M$150,'BS by month'!$N$150,'BS by month'!$O$150,'BS by month'!$P$150,'BS by month'!$Q$150,'BS by month'!$R$150,'BS by month'!$S$150,'BS by month'!$T$150,'BS by month'!$U$150,'BS by month'!$V$150,'BS by month'!$W$150,'BS by month'!$X$150,'BS by month'!$Y$150,'BS by month'!$Z$150</definedName>
    <definedName name="QB_FORMULA_138" localSheetId="13" hidden="1">'P&amp;L.by month'!$K$150,'P&amp;L.by month'!$L$150,'P&amp;L.by month'!$M$150,'P&amp;L.by month'!$N$150,'P&amp;L.by month'!$O$150,'P&amp;L.by month'!$P$150,'P&amp;L.by month'!$Q$150,'P&amp;L.by month'!$R$150,'P&amp;L.by month'!$S$150,'P&amp;L.by month'!$T$150,'P&amp;L.by month'!$U$150,'P&amp;L.by month'!$V$150,'P&amp;L.by month'!$W$150,'P&amp;L.by month'!$X$150,'P&amp;L.by month'!$Y$150,'P&amp;L.by month'!$Z$150</definedName>
    <definedName name="QB_FORMULA_138" localSheetId="11" hidden="1">'P&amp;L.current'!$K$150,'P&amp;L.current'!$L$150,'P&amp;L.current'!$M$150,'P&amp;L.current'!$N$150,'P&amp;L.current'!$O$150,'P&amp;L.current'!$P$150,'P&amp;L.current'!$Q$150,'P&amp;L.current'!$R$150,'P&amp;L.current'!$S$150,'P&amp;L.current'!$T$150,'P&amp;L.current'!$U$150,'P&amp;L.current'!$V$150,'P&amp;L.current'!$W$150,'P&amp;L.current'!$X$150,'P&amp;L.current'!$Y$150,'P&amp;L.current'!$Z$150</definedName>
    <definedName name="QB_FORMULA_138" localSheetId="12" hidden="1">'P&amp;L.prior'!$K$150,'P&amp;L.prior'!$L$150,'P&amp;L.prior'!$M$150,'P&amp;L.prior'!$N$150,'P&amp;L.prior'!$O$150,'P&amp;L.prior'!$P$150,'P&amp;L.prior'!$Q$150,'P&amp;L.prior'!$R$150,'P&amp;L.prior'!$S$150,'P&amp;L.prior'!$T$150,'P&amp;L.prior'!$U$150,'P&amp;L.prior'!$V$150,'P&amp;L.prior'!$W$150,'P&amp;L.prior'!$X$150,'P&amp;L.prior'!$Y$150,'P&amp;L.prior'!$Z$150</definedName>
    <definedName name="QB_FORMULA_139" localSheetId="10" hidden="1">'BS by month'!$AA$150,'BS by month'!$AB$150,'BS by month'!$AC$150,'BS by month'!$AD$150,'BS by month'!$AE$150,'BS by month'!$AF$150,'BS by month'!$AG$150,'BS by month'!$AH$150,'BS by month'!$AI$150,'BS by month'!$AJ$150,'BS by month'!$AK$150,'BS by month'!$AL$150,'BS by month'!#REF!,'BS by month'!#REF!,'BS by month'!#REF!,'BS by month'!#REF!</definedName>
    <definedName name="QB_FORMULA_139" localSheetId="13" hidden="1">'P&amp;L.by month'!$AA$150,'P&amp;L.by month'!$AB$150,'P&amp;L.by month'!$AC$150,'P&amp;L.by month'!$AD$150,'P&amp;L.by month'!$AE$150,'P&amp;L.by month'!$AF$150,'P&amp;L.by month'!$AG$150,'P&amp;L.by month'!$AH$150,'P&amp;L.by month'!$AI$150,'P&amp;L.by month'!$AJ$150,'P&amp;L.by month'!$AK$150,'P&amp;L.by month'!$AL$150,'P&amp;L.by month'!#REF!,'P&amp;L.by month'!#REF!,'P&amp;L.by month'!#REF!,'P&amp;L.by month'!#REF!</definedName>
    <definedName name="QB_FORMULA_139" localSheetId="11" hidden="1">'P&amp;L.current'!$AA$150,'P&amp;L.current'!$AB$150,'P&amp;L.current'!$AC$150,'P&amp;L.current'!$AD$150,'P&amp;L.current'!$AE$150,'P&amp;L.current'!$AF$150,'P&amp;L.current'!$AG$150,'P&amp;L.current'!$AH$150,'P&amp;L.current'!$AI$150,'P&amp;L.current'!$AJ$150,'P&amp;L.current'!$AK$150,'P&amp;L.current'!$AL$150,'P&amp;L.current'!$AM$150,'P&amp;L.current'!$AN$150,'P&amp;L.current'!$AO$150,'P&amp;L.current'!$AP$150</definedName>
    <definedName name="QB_FORMULA_139" localSheetId="12" hidden="1">'P&amp;L.prior'!$AA$150,'P&amp;L.prior'!$AB$150,'P&amp;L.prior'!$AC$150,'P&amp;L.prior'!$AD$150,'P&amp;L.prior'!$AE$150,'P&amp;L.prior'!$AF$150,'P&amp;L.prior'!$AG$150,'P&amp;L.prior'!$AH$150,'P&amp;L.prior'!$AI$150,'P&amp;L.prior'!$AJ$150,'P&amp;L.prior'!$AK$150,'P&amp;L.prior'!$AL$150,'P&amp;L.prior'!#REF!,'P&amp;L.prior'!#REF!,'P&amp;L.prior'!#REF!,'P&amp;L.prior'!#REF!</definedName>
    <definedName name="QB_FORMULA_14" localSheetId="10" hidden="1">'BS by month'!$AK$21,'BS by month'!$AL$21,'BS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4" localSheetId="13" hidden="1">'P&amp;L.by month'!$AK$21,'P&amp;L.by month'!$AL$21,'P&amp;L.by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4" localSheetId="11" hidden="1">'P&amp;L.current'!$AK$21,'P&amp;L.current'!$AL$21,'P&amp;L.current'!$AM$21,'P&amp;L.current'!$AN$21,'P&amp;L.current'!$AO$21,'P&amp;L.current'!$AP$21,'P&amp;L.current'!$AQ$21,'P&amp;L.current'!$AR$21,'P&amp;L.current'!$AS$21,'P&amp;L.current'!$AT$21,'P&amp;L.current'!$AU$21,'P&amp;L.current'!$AV$21,'P&amp;L.current'!$AW$21,'P&amp;L.current'!$AX$21,'P&amp;L.current'!$AY$21,'P&amp;L.current'!$AZ$21</definedName>
    <definedName name="QB_FORMULA_14" localSheetId="12" hidden="1">'P&amp;L.prior'!$AK$21,'P&amp;L.prior'!$AL$21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40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40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40" localSheetId="11" hidden="1">'P&amp;L.current'!$AQ$150,'P&amp;L.current'!$AR$150,'P&amp;L.current'!$AS$150,'P&amp;L.current'!$AT$150,'P&amp;L.current'!$AU$150,'P&amp;L.current'!$AV$150,'P&amp;L.current'!$AW$150,'P&amp;L.current'!$AX$150,'P&amp;L.current'!$AY$150,'P&amp;L.current'!$AZ$150,'P&amp;L.current'!$BA$150,'P&amp;L.current'!$BB$150,'P&amp;L.current'!$BC$150,'P&amp;L.current'!$BD$150,'P&amp;L.current'!$BE$150,'P&amp;L.current'!$BF$150</definedName>
    <definedName name="QB_FORMULA_140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41" localSheetId="10" hidden="1">'BS by month'!#REF!,'BS by month'!#REF!,'BS by month'!#REF!,'BS by month'!$I$151,'BS by month'!$J$151,'BS by month'!$K$151,'BS by month'!$L$151,'BS by month'!$M$151,'BS by month'!$N$151,'BS by month'!$O$151,'BS by month'!$P$151,'BS by month'!$Q$151,'BS by month'!$R$151,'BS by month'!$S$151,'BS by month'!$T$151,'BS by month'!$U$151</definedName>
    <definedName name="QB_FORMULA_141" localSheetId="13" hidden="1">'P&amp;L.by month'!#REF!,'P&amp;L.by month'!#REF!,'P&amp;L.by month'!#REF!,'P&amp;L.by month'!$I$151,'P&amp;L.by month'!$J$151,'P&amp;L.by month'!$K$151,'P&amp;L.by month'!$L$151,'P&amp;L.by month'!$M$151,'P&amp;L.by month'!$N$151,'P&amp;L.by month'!$O$151,'P&amp;L.by month'!$P$151,'P&amp;L.by month'!$Q$151,'P&amp;L.by month'!$R$151,'P&amp;L.by month'!$S$151,'P&amp;L.by month'!$T$151,'P&amp;L.by month'!$U$151</definedName>
    <definedName name="QB_FORMULA_141" localSheetId="11" hidden="1">'P&amp;L.current'!$BG$150,'P&amp;L.current'!$BH$150,'P&amp;L.current'!$BI$150,'P&amp;L.current'!$I$151,'P&amp;L.current'!$J$151,'P&amp;L.current'!$K$151,'P&amp;L.current'!$L$151,'P&amp;L.current'!$M$151,'P&amp;L.current'!$N$151,'P&amp;L.current'!$O$151,'P&amp;L.current'!$P$151,'P&amp;L.current'!$Q$151,'P&amp;L.current'!$R$151,'P&amp;L.current'!$S$151,'P&amp;L.current'!$T$151,'P&amp;L.current'!$U$151</definedName>
    <definedName name="QB_FORMULA_141" localSheetId="12" hidden="1">'P&amp;L.prior'!#REF!,'P&amp;L.prior'!#REF!,'P&amp;L.prior'!#REF!,'P&amp;L.prior'!$I$151,'P&amp;L.prior'!$J$151,'P&amp;L.prior'!$K$151,'P&amp;L.prior'!$L$151,'P&amp;L.prior'!$M$151,'P&amp;L.prior'!$N$151,'P&amp;L.prior'!$O$151,'P&amp;L.prior'!$P$151,'P&amp;L.prior'!$Q$151,'P&amp;L.prior'!$R$151,'P&amp;L.prior'!$S$151,'P&amp;L.prior'!$T$151,'P&amp;L.prior'!$U$151</definedName>
    <definedName name="QB_FORMULA_142" localSheetId="10" hidden="1">'BS by month'!$V$151,'BS by month'!$W$151,'BS by month'!$X$151,'BS by month'!$Y$151,'BS by month'!$Z$151,'BS by month'!$AA$151,'BS by month'!$AB$151,'BS by month'!$AC$151,'BS by month'!$AD$151,'BS by month'!$AE$151,'BS by month'!$AF$151,'BS by month'!$AG$151,'BS by month'!$AH$151,'BS by month'!$AI$151,'BS by month'!$AJ$151,'BS by month'!$AK$151</definedName>
    <definedName name="QB_FORMULA_142" localSheetId="13" hidden="1">'P&amp;L.by month'!$V$151,'P&amp;L.by month'!$W$151,'P&amp;L.by month'!$X$151,'P&amp;L.by month'!$Y$151,'P&amp;L.by month'!$Z$151,'P&amp;L.by month'!$AA$151,'P&amp;L.by month'!$AB$151,'P&amp;L.by month'!$AC$151,'P&amp;L.by month'!$AD$151,'P&amp;L.by month'!$AE$151,'P&amp;L.by month'!$AF$151,'P&amp;L.by month'!$AG$151,'P&amp;L.by month'!$AH$151,'P&amp;L.by month'!$AI$151,'P&amp;L.by month'!$AJ$151,'P&amp;L.by month'!$AK$151</definedName>
    <definedName name="QB_FORMULA_142" localSheetId="11" hidden="1">'P&amp;L.current'!$V$151,'P&amp;L.current'!$W$151,'P&amp;L.current'!$X$151,'P&amp;L.current'!$Y$151,'P&amp;L.current'!$Z$151,'P&amp;L.current'!$AA$151,'P&amp;L.current'!$AB$151,'P&amp;L.current'!$AC$151,'P&amp;L.current'!$AD$151,'P&amp;L.current'!$AE$151,'P&amp;L.current'!$AF$151,'P&amp;L.current'!$AG$151,'P&amp;L.current'!$AH$151,'P&amp;L.current'!$AI$151,'P&amp;L.current'!$AJ$151,'P&amp;L.current'!$AK$151</definedName>
    <definedName name="QB_FORMULA_142" localSheetId="12" hidden="1">'P&amp;L.prior'!$V$151,'P&amp;L.prior'!$W$151,'P&amp;L.prior'!$X$151,'P&amp;L.prior'!$Y$151,'P&amp;L.prior'!$Z$151,'P&amp;L.prior'!$AA$151,'P&amp;L.prior'!$AB$151,'P&amp;L.prior'!$AC$151,'P&amp;L.prior'!$AD$151,'P&amp;L.prior'!$AE$151,'P&amp;L.prior'!$AF$151,'P&amp;L.prior'!$AG$151,'P&amp;L.prior'!$AH$151,'P&amp;L.prior'!$AI$151,'P&amp;L.prior'!$AJ$151,'P&amp;L.prior'!$AK$151</definedName>
    <definedName name="QB_FORMULA_143" localSheetId="10" hidden="1">'BS by month'!$AL$151,'BS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43" localSheetId="13" hidden="1">'P&amp;L.by month'!$AL$151,'P&amp;L.by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43" localSheetId="11" hidden="1">'P&amp;L.current'!$AL$151,'P&amp;L.current'!$AM$151,'P&amp;L.current'!$AN$151,'P&amp;L.current'!$AO$151,'P&amp;L.current'!$AP$151,'P&amp;L.current'!$AQ$151,'P&amp;L.current'!$AR$151,'P&amp;L.current'!$AS$151,'P&amp;L.current'!$AT$151,'P&amp;L.current'!$AU$151,'P&amp;L.current'!$AV$151,'P&amp;L.current'!$AW$151,'P&amp;L.current'!$AX$151,'P&amp;L.current'!$AY$151,'P&amp;L.current'!$AZ$151,'P&amp;L.current'!$BA$151</definedName>
    <definedName name="QB_FORMULA_143" localSheetId="12" hidden="1">'P&amp;L.prior'!$AL$151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44" localSheetId="10" hidden="1">'BS by month'!#REF!,'BS by month'!#REF!,'BS by month'!#REF!,'BS by month'!#REF!,'BS by month'!#REF!,'BS by month'!#REF!,'BS by month'!#REF!,'BS by month'!#REF!,'BS by month'!$I$152,'BS by month'!$J$152,'BS by month'!$K$152,'BS by month'!$L$152,'BS by month'!$M$152,'BS by month'!$N$152,'BS by month'!$O$152,'BS by month'!$P$152</definedName>
    <definedName name="QB_FORMULA_144" localSheetId="13" hidden="1">'P&amp;L.by month'!#REF!,'P&amp;L.by month'!#REF!,'P&amp;L.by month'!#REF!,'P&amp;L.by month'!#REF!,'P&amp;L.by month'!#REF!,'P&amp;L.by month'!#REF!,'P&amp;L.by month'!#REF!,'P&amp;L.by month'!#REF!,'P&amp;L.by month'!$I$152,'P&amp;L.by month'!$J$152,'P&amp;L.by month'!$K$152,'P&amp;L.by month'!$L$152,'P&amp;L.by month'!$M$152,'P&amp;L.by month'!$N$152,'P&amp;L.by month'!$O$152,'P&amp;L.by month'!$P$152</definedName>
    <definedName name="QB_FORMULA_144" localSheetId="11" hidden="1">'P&amp;L.current'!$BB$151,'P&amp;L.current'!$BC$151,'P&amp;L.current'!$BD$151,'P&amp;L.current'!$BE$151,'P&amp;L.current'!$BF$151,'P&amp;L.current'!$BG$151,'P&amp;L.current'!$BH$151,'P&amp;L.current'!$BI$151,'P&amp;L.current'!$I$152,'P&amp;L.current'!$J$152,'P&amp;L.current'!$K$152,'P&amp;L.current'!$L$152,'P&amp;L.current'!$M$152,'P&amp;L.current'!$N$152,'P&amp;L.current'!$O$152,'P&amp;L.current'!$P$152</definedName>
    <definedName name="QB_FORMULA_144" localSheetId="12" hidden="1">'P&amp;L.prior'!#REF!,'P&amp;L.prior'!#REF!,'P&amp;L.prior'!#REF!,'P&amp;L.prior'!#REF!,'P&amp;L.prior'!#REF!,'P&amp;L.prior'!#REF!,'P&amp;L.prior'!#REF!,'P&amp;L.prior'!#REF!,'P&amp;L.prior'!$I$152,'P&amp;L.prior'!$J$152,'P&amp;L.prior'!$K$152,'P&amp;L.prior'!$L$152,'P&amp;L.prior'!$M$152,'P&amp;L.prior'!$N$152,'P&amp;L.prior'!$O$152,'P&amp;L.prior'!$P$152</definedName>
    <definedName name="QB_FORMULA_145" localSheetId="10" hidden="1">'BS by month'!$Q$152,'BS by month'!$R$152,'BS by month'!$S$152,'BS by month'!$T$152,'BS by month'!$U$152,'BS by month'!$V$152,'BS by month'!$W$152,'BS by month'!$X$152,'BS by month'!$Y$152,'BS by month'!$Z$152,'BS by month'!$AA$152,'BS by month'!$AB$152,'BS by month'!$AC$152,'BS by month'!$AD$152,'BS by month'!$AE$152,'BS by month'!$AF$152</definedName>
    <definedName name="QB_FORMULA_145" localSheetId="13" hidden="1">'P&amp;L.by month'!$Q$152,'P&amp;L.by month'!$R$152,'P&amp;L.by month'!$S$152,'P&amp;L.by month'!$T$152,'P&amp;L.by month'!$U$152,'P&amp;L.by month'!$V$152,'P&amp;L.by month'!$W$152,'P&amp;L.by month'!$X$152,'P&amp;L.by month'!$Y$152,'P&amp;L.by month'!$Z$152,'P&amp;L.by month'!$AA$152,'P&amp;L.by month'!$AB$152,'P&amp;L.by month'!$AC$152,'P&amp;L.by month'!$AD$152,'P&amp;L.by month'!$AE$152,'P&amp;L.by month'!$AF$152</definedName>
    <definedName name="QB_FORMULA_145" localSheetId="11" hidden="1">'P&amp;L.current'!$Q$152,'P&amp;L.current'!$R$152,'P&amp;L.current'!$S$152,'P&amp;L.current'!$T$152,'P&amp;L.current'!$U$152,'P&amp;L.current'!$V$152,'P&amp;L.current'!$W$152,'P&amp;L.current'!$X$152,'P&amp;L.current'!$Y$152,'P&amp;L.current'!$Z$152,'P&amp;L.current'!$AA$152,'P&amp;L.current'!$AB$152,'P&amp;L.current'!$AC$152,'P&amp;L.current'!$AD$152,'P&amp;L.current'!$AE$152,'P&amp;L.current'!$AF$152</definedName>
    <definedName name="QB_FORMULA_145" localSheetId="12" hidden="1">'P&amp;L.prior'!$Q$152,'P&amp;L.prior'!$R$152,'P&amp;L.prior'!$S$152,'P&amp;L.prior'!$T$152,'P&amp;L.prior'!$U$152,'P&amp;L.prior'!$V$152,'P&amp;L.prior'!$W$152,'P&amp;L.prior'!$X$152,'P&amp;L.prior'!$Y$152,'P&amp;L.prior'!$Z$152,'P&amp;L.prior'!$AA$152,'P&amp;L.prior'!$AB$152,'P&amp;L.prior'!$AC$152,'P&amp;L.prior'!$AD$152,'P&amp;L.prior'!$AE$152,'P&amp;L.prior'!$AF$152</definedName>
    <definedName name="QB_FORMULA_146" localSheetId="10" hidden="1">'BS by month'!$AG$152,'BS by month'!$AH$152,'BS by month'!$AI$152,'BS by month'!$AJ$152,'BS by month'!$AK$152,'BS by month'!$AL$152,'BS by month'!#REF!,'BS by month'!#REF!,'BS by month'!#REF!,'BS by month'!#REF!,'BS by month'!#REF!,'BS by month'!#REF!,'BS by month'!#REF!,'BS by month'!#REF!,'BS by month'!#REF!,'BS by month'!#REF!</definedName>
    <definedName name="QB_FORMULA_146" localSheetId="13" hidden="1">'P&amp;L.by month'!$AG$152,'P&amp;L.by month'!$AH$152,'P&amp;L.by month'!$AI$152,'P&amp;L.by month'!$AJ$152,'P&amp;L.by month'!$AK$152,'P&amp;L.by month'!$AL$152,'P&amp;L.by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46" localSheetId="11" hidden="1">'P&amp;L.current'!$AG$152,'P&amp;L.current'!$AH$152,'P&amp;L.current'!$AI$152,'P&amp;L.current'!$AJ$152,'P&amp;L.current'!$AK$152,'P&amp;L.current'!$AL$152,'P&amp;L.current'!$AM$152,'P&amp;L.current'!$AN$152,'P&amp;L.current'!$AO$152,'P&amp;L.current'!$AP$152,'P&amp;L.current'!$AQ$152,'P&amp;L.current'!$AR$152,'P&amp;L.current'!$AS$152,'P&amp;L.current'!$AT$152,'P&amp;L.current'!$AU$152,'P&amp;L.current'!$AV$152</definedName>
    <definedName name="QB_FORMULA_146" localSheetId="12" hidden="1">'P&amp;L.prior'!$AG$152,'P&amp;L.prior'!$AH$152,'P&amp;L.prior'!$AI$152,'P&amp;L.prior'!$AJ$152,'P&amp;L.prior'!$AK$152,'P&amp;L.prior'!$AL$152,'P&amp;L.prior'!#REF!,'P&amp;L.prior'!#REF!,'P&amp;L.prior'!#REF!,'P&amp;L.prior'!#REF!,'P&amp;L.prior'!#REF!,'P&amp;L.prior'!#REF!,'P&amp;L.prior'!#REF!,'P&amp;L.prior'!#REF!,'P&amp;L.prior'!#REF!,'P&amp;L.prior'!#REF!</definedName>
    <definedName name="QB_FORMULA_147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month'!$W$155,'BS by month'!$Y$155,'BS by month'!$AB$155</definedName>
    <definedName name="QB_FORMULA_147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month'!$W$155,'P&amp;L.by month'!$Y$155,'P&amp;L.by month'!$AB$155</definedName>
    <definedName name="QB_FORMULA_147" localSheetId="11" hidden="1">'P&amp;L.current'!$AW$152,'P&amp;L.current'!$AX$152,'P&amp;L.current'!$AY$152,'P&amp;L.current'!$AZ$152,'P&amp;L.current'!$BA$152,'P&amp;L.current'!$BB$152,'P&amp;L.current'!$BC$152,'P&amp;L.current'!$BD$152,'P&amp;L.current'!$BE$152,'P&amp;L.current'!$BF$152,'P&amp;L.current'!$BG$152,'P&amp;L.current'!$BH$152,'P&amp;L.current'!$BI$152,'P&amp;L.current'!$W$155,'P&amp;L.current'!$Y$155,'P&amp;L.current'!$AB$155</definedName>
    <definedName name="QB_FORMULA_147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$W$155,'P&amp;L.prior'!$Y$155,'P&amp;L.prior'!$AB$155</definedName>
    <definedName name="QB_FORMULA_148" localSheetId="10" hidden="1">'BS by month'!$AF$155,'BS by month'!#REF!,'BS by month'!#REF!,'BS by month'!#REF!,'BS by month'!#REF!,'BS by month'!#REF!,'BS by month'!$W$156,'BS by month'!$Y$156,'BS by month'!$AB$156,'BS by month'!$AF$156,'BS by month'!#REF!,'BS by month'!#REF!,'BS by month'!#REF!,'BS by month'!#REF!,'BS by month'!#REF!,'BS by month'!$I$157</definedName>
    <definedName name="QB_FORMULA_148" localSheetId="13" hidden="1">'P&amp;L.by month'!$AF$155,'P&amp;L.by month'!#REF!,'P&amp;L.by month'!#REF!,'P&amp;L.by month'!#REF!,'P&amp;L.by month'!#REF!,'P&amp;L.by month'!#REF!,'P&amp;L.by month'!$W$156,'P&amp;L.by month'!$Y$156,'P&amp;L.by month'!$AB$156,'P&amp;L.by month'!$AF$156,'P&amp;L.by month'!#REF!,'P&amp;L.by month'!#REF!,'P&amp;L.by month'!#REF!,'P&amp;L.by month'!#REF!,'P&amp;L.by month'!#REF!,'P&amp;L.by month'!$I$157</definedName>
    <definedName name="QB_FORMULA_148" localSheetId="11" hidden="1">'P&amp;L.current'!$AF$155,'P&amp;L.current'!$AR$155,'P&amp;L.current'!$AX$155,'P&amp;L.current'!$AZ$155,'P&amp;L.current'!$BG$155,'P&amp;L.current'!$BI$155,'P&amp;L.current'!$W$156,'P&amp;L.current'!$Y$156,'P&amp;L.current'!$AB$156,'P&amp;L.current'!$AF$156,'P&amp;L.current'!$AR$156,'P&amp;L.current'!$AX$156,'P&amp;L.current'!$AZ$156,'P&amp;L.current'!$BG$156,'P&amp;L.current'!$BI$156,'P&amp;L.current'!$I$157</definedName>
    <definedName name="QB_FORMULA_148" localSheetId="12" hidden="1">'P&amp;L.prior'!$AF$155,'P&amp;L.prior'!#REF!,'P&amp;L.prior'!#REF!,'P&amp;L.prior'!#REF!,'P&amp;L.prior'!#REF!,'P&amp;L.prior'!#REF!,'P&amp;L.prior'!$W$156,'P&amp;L.prior'!$Y$156,'P&amp;L.prior'!$AB$156,'P&amp;L.prior'!$AF$156,'P&amp;L.prior'!#REF!,'P&amp;L.prior'!#REF!,'P&amp;L.prior'!#REF!,'P&amp;L.prior'!#REF!,'P&amp;L.prior'!#REF!,'P&amp;L.prior'!$I$157</definedName>
    <definedName name="QB_FORMULA_149" localSheetId="10" hidden="1">'BS by month'!$J$157,'BS by month'!$K$157,'BS by month'!$L$157,'BS by month'!$M$157,'BS by month'!$N$157,'BS by month'!$O$157,'BS by month'!$P$157,'BS by month'!$Q$157,'BS by month'!$R$157,'BS by month'!$S$157,'BS by month'!$T$157,'BS by month'!$U$157,'BS by month'!$V$157,'BS by month'!$W$157,'BS by month'!$X$157,'BS by month'!$Y$157</definedName>
    <definedName name="QB_FORMULA_149" localSheetId="13" hidden="1">'P&amp;L.by month'!$J$157,'P&amp;L.by month'!$K$157,'P&amp;L.by month'!$L$157,'P&amp;L.by month'!$M$157,'P&amp;L.by month'!$N$157,'P&amp;L.by month'!$O$157,'P&amp;L.by month'!$P$157,'P&amp;L.by month'!$Q$157,'P&amp;L.by month'!$R$157,'P&amp;L.by month'!$S$157,'P&amp;L.by month'!$T$157,'P&amp;L.by month'!$U$157,'P&amp;L.by month'!$V$157,'P&amp;L.by month'!$W$157,'P&amp;L.by month'!$X$157,'P&amp;L.by month'!$Y$157</definedName>
    <definedName name="QB_FORMULA_149" localSheetId="11" hidden="1">'P&amp;L.current'!$J$157,'P&amp;L.current'!$K$157,'P&amp;L.current'!$L$157,'P&amp;L.current'!$M$157,'P&amp;L.current'!$N$157,'P&amp;L.current'!$O$157,'P&amp;L.current'!$P$157,'P&amp;L.current'!$Q$157,'P&amp;L.current'!$R$157,'P&amp;L.current'!$S$157,'P&amp;L.current'!$T$157,'P&amp;L.current'!$U$157,'P&amp;L.current'!$V$157,'P&amp;L.current'!$W$157,'P&amp;L.current'!$X$157,'P&amp;L.current'!$Y$157</definedName>
    <definedName name="QB_FORMULA_149" localSheetId="12" hidden="1">'P&amp;L.prior'!$J$157,'P&amp;L.prior'!$K$157,'P&amp;L.prior'!$L$157,'P&amp;L.prior'!$M$157,'P&amp;L.prior'!$N$157,'P&amp;L.prior'!$O$157,'P&amp;L.prior'!$P$157,'P&amp;L.prior'!$Q$157,'P&amp;L.prior'!$R$157,'P&amp;L.prior'!$S$157,'P&amp;L.prior'!$T$157,'P&amp;L.prior'!$U$157,'P&amp;L.prior'!$V$157,'P&amp;L.prior'!$W$157,'P&amp;L.prior'!$X$157,'P&amp;L.prior'!$Y$157</definedName>
    <definedName name="QB_FORMULA_15" localSheetId="10" hidden="1">'BS by month'!#REF!,'BS by month'!#REF!,'BS by month'!#REF!,'BS by month'!#REF!,'BS by month'!#REF!,'BS by month'!#REF!,'BS by month'!#REF!,'BS by month'!#REF!,'BS by month'!#REF!,'BS by month'!$W$23,'BS by month'!$Y$23,'BS by month'!$AB$23,'BS by month'!$AF$23,'BS by month'!#REF!,'BS by month'!#REF!,'BS by month'!#REF!</definedName>
    <definedName name="QB_FORMULA_15" localSheetId="13" hidden="1">'P&amp;L.by month'!#REF!,'P&amp;L.by month'!#REF!,'P&amp;L.by month'!#REF!,'P&amp;L.by month'!#REF!,'P&amp;L.by month'!#REF!,'P&amp;L.by month'!#REF!,'P&amp;L.by month'!#REF!,'P&amp;L.by month'!#REF!,'P&amp;L.by month'!#REF!,'P&amp;L.by month'!$W$23,'P&amp;L.by month'!$Y$23,'P&amp;L.by month'!$AB$23,'P&amp;L.by month'!$AF$23,'P&amp;L.by month'!#REF!,'P&amp;L.by month'!#REF!,'P&amp;L.by month'!#REF!</definedName>
    <definedName name="QB_FORMULA_15" localSheetId="11" hidden="1">'P&amp;L.current'!$BA$21,'P&amp;L.current'!$BB$21,'P&amp;L.current'!$BC$21,'P&amp;L.current'!$BD$21,'P&amp;L.current'!$BE$21,'P&amp;L.current'!$BF$21,'P&amp;L.current'!$BG$21,'P&amp;L.current'!$BH$21,'P&amp;L.current'!$BI$21,'P&amp;L.current'!$W$23,'P&amp;L.current'!$Y$23,'P&amp;L.current'!$AB$23,'P&amp;L.current'!$AF$23,'P&amp;L.current'!$AR$23,'P&amp;L.current'!$AX$23,'P&amp;L.current'!$AZ$23</definedName>
    <definedName name="QB_FORMULA_15" localSheetId="12" hidden="1">'P&amp;L.prior'!#REF!,'P&amp;L.prior'!#REF!,'P&amp;L.prior'!#REF!,'P&amp;L.prior'!#REF!,'P&amp;L.prior'!#REF!,'P&amp;L.prior'!#REF!,'P&amp;L.prior'!#REF!,'P&amp;L.prior'!#REF!,'P&amp;L.prior'!#REF!,'P&amp;L.prior'!$W$23,'P&amp;L.prior'!$Y$23,'P&amp;L.prior'!$AB$23,'P&amp;L.prior'!$AF$23,'P&amp;L.prior'!#REF!,'P&amp;L.prior'!#REF!,'P&amp;L.prior'!#REF!</definedName>
    <definedName name="QB_FORMULA_150" localSheetId="10" hidden="1">'BS by month'!$Z$157,'BS by month'!$AA$157,'BS by month'!$AB$157,'BS by month'!$AC$157,'BS by month'!$AD$157,'BS by month'!$AE$157,'BS by month'!$AF$157,'BS by month'!$AG$157,'BS by month'!$AH$157,'BS by month'!$AI$157,'BS by month'!$AJ$157,'BS by month'!$AK$157,'BS by month'!$AL$157,'BS by month'!#REF!,'BS by month'!#REF!,'BS by month'!#REF!</definedName>
    <definedName name="QB_FORMULA_150" localSheetId="13" hidden="1">'P&amp;L.by month'!$Z$157,'P&amp;L.by month'!$AA$157,'P&amp;L.by month'!$AB$157,'P&amp;L.by month'!$AC$157,'P&amp;L.by month'!$AD$157,'P&amp;L.by month'!$AE$157,'P&amp;L.by month'!$AF$157,'P&amp;L.by month'!$AG$157,'P&amp;L.by month'!$AH$157,'P&amp;L.by month'!$AI$157,'P&amp;L.by month'!$AJ$157,'P&amp;L.by month'!$AK$157,'P&amp;L.by month'!$AL$157,'P&amp;L.by month'!#REF!,'P&amp;L.by month'!#REF!,'P&amp;L.by month'!#REF!</definedName>
    <definedName name="QB_FORMULA_150" localSheetId="11" hidden="1">'P&amp;L.current'!$Z$157,'P&amp;L.current'!$AA$157,'P&amp;L.current'!$AB$157,'P&amp;L.current'!$AC$157,'P&amp;L.current'!$AD$157,'P&amp;L.current'!$AE$157,'P&amp;L.current'!$AF$157,'P&amp;L.current'!$AG$157,'P&amp;L.current'!$AH$157,'P&amp;L.current'!$AI$157,'P&amp;L.current'!$AJ$157,'P&amp;L.current'!$AK$157,'P&amp;L.current'!$AL$157,'P&amp;L.current'!$AM$157,'P&amp;L.current'!$AN$157,'P&amp;L.current'!$AO$157</definedName>
    <definedName name="QB_FORMULA_150" localSheetId="12" hidden="1">'P&amp;L.prior'!$Z$157,'P&amp;L.prior'!$AA$157,'P&amp;L.prior'!$AB$157,'P&amp;L.prior'!$AC$157,'P&amp;L.prior'!$AD$157,'P&amp;L.prior'!$AE$157,'P&amp;L.prior'!$AF$157,'P&amp;L.prior'!$AG$157,'P&amp;L.prior'!$AH$157,'P&amp;L.prior'!$AI$157,'P&amp;L.prior'!$AJ$157,'P&amp;L.prior'!$AK$157,'P&amp;L.prior'!$AL$157,'P&amp;L.prior'!#REF!,'P&amp;L.prior'!#REF!,'P&amp;L.prior'!#REF!</definedName>
    <definedName name="QB_FORMULA_151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51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51" localSheetId="11" hidden="1">'P&amp;L.current'!$AP$157,'P&amp;L.current'!$AQ$157,'P&amp;L.current'!$AR$157,'P&amp;L.current'!$AS$157,'P&amp;L.current'!$AT$157,'P&amp;L.current'!$AU$157,'P&amp;L.current'!$AV$157,'P&amp;L.current'!$AW$157,'P&amp;L.current'!$AX$157,'P&amp;L.current'!$AY$157,'P&amp;L.current'!$AZ$157,'P&amp;L.current'!$BA$157,'P&amp;L.current'!$BB$157,'P&amp;L.current'!$BC$157,'P&amp;L.current'!$BD$157,'P&amp;L.current'!$BE$157</definedName>
    <definedName name="QB_FORMULA_151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52" localSheetId="10" hidden="1">'BS by month'!#REF!,'BS by month'!#REF!,'BS by month'!#REF!,'BS by month'!#REF!,'BS by month'!$I$158,'BS by month'!$J$158,'BS by month'!$K$158,'BS by month'!$L$158,'BS by month'!$M$158,'BS by month'!$N$158,'BS by month'!$O$158,'BS by month'!$P$158,'BS by month'!$Q$158,'BS by month'!$R$158,'BS by month'!$S$158,'BS by month'!$T$158</definedName>
    <definedName name="QB_FORMULA_152" localSheetId="13" hidden="1">'P&amp;L.by month'!#REF!,'P&amp;L.by month'!#REF!,'P&amp;L.by month'!#REF!,'P&amp;L.by month'!#REF!,'P&amp;L.by month'!$I$158,'P&amp;L.by month'!$J$158,'P&amp;L.by month'!$K$158,'P&amp;L.by month'!$L$158,'P&amp;L.by month'!$M$158,'P&amp;L.by month'!$N$158,'P&amp;L.by month'!$O$158,'P&amp;L.by month'!$P$158,'P&amp;L.by month'!$Q$158,'P&amp;L.by month'!$R$158,'P&amp;L.by month'!$S$158,'P&amp;L.by month'!$T$158</definedName>
    <definedName name="QB_FORMULA_152" localSheetId="11" hidden="1">'P&amp;L.current'!$BF$157,'P&amp;L.current'!$BG$157,'P&amp;L.current'!$BH$157,'P&amp;L.current'!$BI$157,'P&amp;L.current'!$I$158,'P&amp;L.current'!$J$158,'P&amp;L.current'!$K$158,'P&amp;L.current'!$L$158,'P&amp;L.current'!$M$158,'P&amp;L.current'!$N$158,'P&amp;L.current'!$O$158,'P&amp;L.current'!$P$158,'P&amp;L.current'!$Q$158,'P&amp;L.current'!$R$158,'P&amp;L.current'!$S$158,'P&amp;L.current'!$T$158</definedName>
    <definedName name="QB_FORMULA_152" localSheetId="12" hidden="1">'P&amp;L.prior'!#REF!,'P&amp;L.prior'!#REF!,'P&amp;L.prior'!#REF!,'P&amp;L.prior'!#REF!,'P&amp;L.prior'!$I$158,'P&amp;L.prior'!$J$158,'P&amp;L.prior'!$K$158,'P&amp;L.prior'!$L$158,'P&amp;L.prior'!$M$158,'P&amp;L.prior'!$N$158,'P&amp;L.prior'!$O$158,'P&amp;L.prior'!$P$158,'P&amp;L.prior'!$Q$158,'P&amp;L.prior'!$R$158,'P&amp;L.prior'!$S$158,'P&amp;L.prior'!$T$158</definedName>
    <definedName name="QB_FORMULA_153" localSheetId="10" hidden="1">'BS by month'!$U$158,'BS by month'!$V$158,'BS by month'!$W$158,'BS by month'!$X$158,'BS by month'!$Y$158,'BS by month'!$Z$158,'BS by month'!$AA$158,'BS by month'!$AB$158,'BS by month'!$AC$158,'BS by month'!$AD$158,'BS by month'!$AE$158,'BS by month'!$AF$158,'BS by month'!$AG$158,'BS by month'!$AH$158,'BS by month'!$AI$158,'BS by month'!$AJ$158</definedName>
    <definedName name="QB_FORMULA_153" localSheetId="13" hidden="1">'P&amp;L.by month'!$U$158,'P&amp;L.by month'!$V$158,'P&amp;L.by month'!$W$158,'P&amp;L.by month'!$X$158,'P&amp;L.by month'!$Y$158,'P&amp;L.by month'!$Z$158,'P&amp;L.by month'!$AA$158,'P&amp;L.by month'!$AB$158,'P&amp;L.by month'!$AC$158,'P&amp;L.by month'!$AD$158,'P&amp;L.by month'!$AE$158,'P&amp;L.by month'!$AF$158,'P&amp;L.by month'!$AG$158,'P&amp;L.by month'!$AH$158,'P&amp;L.by month'!$AI$158,'P&amp;L.by month'!$AJ$158</definedName>
    <definedName name="QB_FORMULA_153" localSheetId="11" hidden="1">'P&amp;L.current'!$U$158,'P&amp;L.current'!$V$158,'P&amp;L.current'!$W$158,'P&amp;L.current'!$X$158,'P&amp;L.current'!$Y$158,'P&amp;L.current'!$Z$158,'P&amp;L.current'!$AA$158,'P&amp;L.current'!$AB$158,'P&amp;L.current'!$AC$158,'P&amp;L.current'!$AD$158,'P&amp;L.current'!$AE$158,'P&amp;L.current'!$AF$158,'P&amp;L.current'!$AG$158,'P&amp;L.current'!$AH$158,'P&amp;L.current'!$AI$158,'P&amp;L.current'!$AJ$158</definedName>
    <definedName name="QB_FORMULA_153" localSheetId="12" hidden="1">'P&amp;L.prior'!$U$158,'P&amp;L.prior'!$V$158,'P&amp;L.prior'!$W$158,'P&amp;L.prior'!$X$158,'P&amp;L.prior'!$Y$158,'P&amp;L.prior'!$Z$158,'P&amp;L.prior'!$AA$158,'P&amp;L.prior'!$AB$158,'P&amp;L.prior'!$AC$158,'P&amp;L.prior'!$AD$158,'P&amp;L.prior'!$AE$158,'P&amp;L.prior'!$AF$158,'P&amp;L.prior'!$AG$158,'P&amp;L.prior'!$AH$158,'P&amp;L.prior'!$AI$158,'P&amp;L.prior'!$AJ$158</definedName>
    <definedName name="QB_FORMULA_154" localSheetId="10" hidden="1">'BS by month'!$AK$158,'BS by month'!$AL$158,'BS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54" localSheetId="13" hidden="1">'P&amp;L.by month'!$AK$158,'P&amp;L.by month'!$AL$158,'P&amp;L.by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54" localSheetId="11" hidden="1">'P&amp;L.current'!$AK$158,'P&amp;L.current'!$AL$158,'P&amp;L.current'!$AM$158,'P&amp;L.current'!$AN$158,'P&amp;L.current'!$AO$158,'P&amp;L.current'!$AP$158,'P&amp;L.current'!$AQ$158,'P&amp;L.current'!$AR$158,'P&amp;L.current'!$AS$158,'P&amp;L.current'!$AT$158,'P&amp;L.current'!$AU$158,'P&amp;L.current'!$AV$158,'P&amp;L.current'!$AW$158,'P&amp;L.current'!$AX$158,'P&amp;L.current'!$AY$158,'P&amp;L.current'!$AZ$158</definedName>
    <definedName name="QB_FORMULA_154" localSheetId="12" hidden="1">'P&amp;L.prior'!$AK$158,'P&amp;L.prior'!$AL$158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55" localSheetId="10" hidden="1">'BS by month'!#REF!,'BS by month'!#REF!,'BS by month'!#REF!,'BS by month'!#REF!,'BS by month'!#REF!,'BS by month'!#REF!,'BS by month'!#REF!,'BS by month'!#REF!,'BS by month'!#REF!,'BS by month'!$I$159,'BS by month'!$J$159,'BS by month'!$K$159,'BS by month'!$L$159,'BS by month'!$M$159,'BS by month'!$N$159,'BS by month'!$O$159</definedName>
    <definedName name="QB_FORMULA_155" localSheetId="13" hidden="1">'P&amp;L.by month'!#REF!,'P&amp;L.by month'!#REF!,'P&amp;L.by month'!#REF!,'P&amp;L.by month'!#REF!,'P&amp;L.by month'!#REF!,'P&amp;L.by month'!#REF!,'P&amp;L.by month'!#REF!,'P&amp;L.by month'!#REF!,'P&amp;L.by month'!#REF!,'P&amp;L.by month'!$I$159,'P&amp;L.by month'!$J$159,'P&amp;L.by month'!$K$159,'P&amp;L.by month'!$L$159,'P&amp;L.by month'!$M$159,'P&amp;L.by month'!$N$159,'P&amp;L.by month'!$O$159</definedName>
    <definedName name="QB_FORMULA_155" localSheetId="11" hidden="1">'P&amp;L.current'!$BA$158,'P&amp;L.current'!$BB$158,'P&amp;L.current'!$BC$158,'P&amp;L.current'!$BD$158,'P&amp;L.current'!$BE$158,'P&amp;L.current'!$BF$158,'P&amp;L.current'!$BG$158,'P&amp;L.current'!$BH$158,'P&amp;L.current'!$BI$158,'P&amp;L.current'!$I$159,'P&amp;L.current'!$J$159,'P&amp;L.current'!$K$159,'P&amp;L.current'!$L$159,'P&amp;L.current'!$M$159,'P&amp;L.current'!$N$159,'P&amp;L.current'!$O$159</definedName>
    <definedName name="QB_FORMULA_155" localSheetId="12" hidden="1">'P&amp;L.prior'!#REF!,'P&amp;L.prior'!#REF!,'P&amp;L.prior'!#REF!,'P&amp;L.prior'!#REF!,'P&amp;L.prior'!#REF!,'P&amp;L.prior'!#REF!,'P&amp;L.prior'!#REF!,'P&amp;L.prior'!#REF!,'P&amp;L.prior'!#REF!,'P&amp;L.prior'!$I$159,'P&amp;L.prior'!$J$159,'P&amp;L.prior'!$K$159,'P&amp;L.prior'!$L$159,'P&amp;L.prior'!$M$159,'P&amp;L.prior'!$N$159,'P&amp;L.prior'!$O$159</definedName>
    <definedName name="QB_FORMULA_156" localSheetId="10" hidden="1">'BS by month'!$P$159,'BS by month'!$Q$159,'BS by month'!$R$159,'BS by month'!$S$159,'BS by month'!$T$159,'BS by month'!$U$159,'BS by month'!$V$159,'BS by month'!$W$159,'BS by month'!$X$159,'BS by month'!$Y$159,'BS by month'!$Z$159,'BS by month'!$AA$159,'BS by month'!$AB$159,'BS by month'!$AC$159,'BS by month'!$AD$159,'BS by month'!$AE$159</definedName>
    <definedName name="QB_FORMULA_156" localSheetId="13" hidden="1">'P&amp;L.by month'!$P$159,'P&amp;L.by month'!$Q$159,'P&amp;L.by month'!$R$159,'P&amp;L.by month'!$S$159,'P&amp;L.by month'!$T$159,'P&amp;L.by month'!$U$159,'P&amp;L.by month'!$V$159,'P&amp;L.by month'!$W$159,'P&amp;L.by month'!$X$159,'P&amp;L.by month'!$Y$159,'P&amp;L.by month'!$Z$159,'P&amp;L.by month'!$AA$159,'P&amp;L.by month'!$AB$159,'P&amp;L.by month'!$AC$159,'P&amp;L.by month'!$AD$159,'P&amp;L.by month'!$AE$159</definedName>
    <definedName name="QB_FORMULA_156" localSheetId="11" hidden="1">'P&amp;L.current'!$P$159,'P&amp;L.current'!$Q$159,'P&amp;L.current'!$R$159,'P&amp;L.current'!$S$159,'P&amp;L.current'!$T$159,'P&amp;L.current'!$U$159,'P&amp;L.current'!$V$159,'P&amp;L.current'!$W$159,'P&amp;L.current'!$X$159,'P&amp;L.current'!$Y$159,'P&amp;L.current'!$Z$159,'P&amp;L.current'!$AA$159,'P&amp;L.current'!$AB$159,'P&amp;L.current'!$AC$159,'P&amp;L.current'!$AD$159,'P&amp;L.current'!$AE$159</definedName>
    <definedName name="QB_FORMULA_156" localSheetId="12" hidden="1">'P&amp;L.prior'!$P$159,'P&amp;L.prior'!$Q$159,'P&amp;L.prior'!$R$159,'P&amp;L.prior'!$S$159,'P&amp;L.prior'!$T$159,'P&amp;L.prior'!$U$159,'P&amp;L.prior'!$V$159,'P&amp;L.prior'!$W$159,'P&amp;L.prior'!$X$159,'P&amp;L.prior'!$Y$159,'P&amp;L.prior'!$Z$159,'P&amp;L.prior'!$AA$159,'P&amp;L.prior'!$AB$159,'P&amp;L.prior'!$AC$159,'P&amp;L.prior'!$AD$159,'P&amp;L.prior'!$AE$159</definedName>
    <definedName name="QB_FORMULA_157" localSheetId="10" hidden="1">'BS by month'!$AF$159,'BS by month'!$AG$159,'BS by month'!$AH$159,'BS by month'!$AI$159,'BS by month'!$AJ$159,'BS by month'!$AK$159,'BS by month'!$AL$159,'BS by month'!#REF!,'BS by month'!#REF!,'BS by month'!#REF!,'BS by month'!#REF!,'BS by month'!#REF!,'BS by month'!#REF!,'BS by month'!#REF!,'BS by month'!#REF!,'BS by month'!#REF!</definedName>
    <definedName name="QB_FORMULA_157" localSheetId="13" hidden="1">'P&amp;L.by month'!$AF$159,'P&amp;L.by month'!$AG$159,'P&amp;L.by month'!$AH$159,'P&amp;L.by month'!$AI$159,'P&amp;L.by month'!$AJ$159,'P&amp;L.by month'!$AK$159,'P&amp;L.by month'!$AL$159,'P&amp;L.by month'!#REF!,'P&amp;L.by month'!#REF!,'P&amp;L.by month'!#REF!,'P&amp;L.by month'!#REF!,'P&amp;L.by month'!#REF!,'P&amp;L.by month'!#REF!,'P&amp;L.by month'!#REF!,'P&amp;L.by month'!#REF!,'P&amp;L.by month'!#REF!</definedName>
    <definedName name="QB_FORMULA_157" localSheetId="11" hidden="1">'P&amp;L.current'!$AF$159,'P&amp;L.current'!$AG$159,'P&amp;L.current'!$AH$159,'P&amp;L.current'!$AI$159,'P&amp;L.current'!$AJ$159,'P&amp;L.current'!$AK$159,'P&amp;L.current'!$AL$159,'P&amp;L.current'!$AM$159,'P&amp;L.current'!$AN$159,'P&amp;L.current'!$AO$159,'P&amp;L.current'!$AP$159,'P&amp;L.current'!$AQ$159,'P&amp;L.current'!$AR$159,'P&amp;L.current'!$AS$159,'P&amp;L.current'!$AT$159,'P&amp;L.current'!$AU$159</definedName>
    <definedName name="QB_FORMULA_157" localSheetId="12" hidden="1">'P&amp;L.prior'!$AF$159,'P&amp;L.prior'!$AG$159,'P&amp;L.prior'!$AH$159,'P&amp;L.prior'!$AI$159,'P&amp;L.prior'!$AJ$159,'P&amp;L.prior'!$AK$159,'P&amp;L.prior'!$AL$159,'P&amp;L.prior'!#REF!,'P&amp;L.prior'!#REF!,'P&amp;L.prior'!#REF!,'P&amp;L.prior'!#REF!,'P&amp;L.prior'!#REF!,'P&amp;L.prior'!#REF!,'P&amp;L.prior'!#REF!,'P&amp;L.prior'!#REF!,'P&amp;L.prior'!#REF!</definedName>
    <definedName name="QB_FORMULA_158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58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58" localSheetId="11" hidden="1">'P&amp;L.current'!$AV$159,'P&amp;L.current'!$AW$159,'P&amp;L.current'!$AX$159,'P&amp;L.current'!$AY$159,'P&amp;L.current'!$AZ$159,'P&amp;L.current'!$BA$159,'P&amp;L.current'!$BB$159,'P&amp;L.current'!$BC$159,'P&amp;L.current'!$BD$159,'P&amp;L.current'!$BE$159,'P&amp;L.current'!$BF$159,'P&amp;L.current'!$BG$159,'P&amp;L.current'!$BH$159,'P&amp;L.current'!$BI$159</definedName>
    <definedName name="QB_FORMULA_158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16" localSheetId="10" hidden="1">'BS by month'!#REF!,'BS by month'!#REF!,'BS by month'!$W$24,'BS by month'!$Y$24,'BS by month'!$AB$24,'BS by month'!$AF$24,'BS by month'!#REF!,'BS by month'!#REF!,'BS by month'!#REF!,'BS by month'!#REF!,'BS by month'!#REF!,'BS by month'!$W$25,'BS by month'!$Y$25,'BS by month'!$AB$25,'BS by month'!$AF$25,'BS by month'!#REF!</definedName>
    <definedName name="QB_FORMULA_16" localSheetId="13" hidden="1">'P&amp;L.by month'!#REF!,'P&amp;L.by month'!#REF!,'P&amp;L.by month'!$W$24,'P&amp;L.by month'!$Y$24,'P&amp;L.by month'!$AB$24,'P&amp;L.by month'!$AF$24,'P&amp;L.by month'!#REF!,'P&amp;L.by month'!#REF!,'P&amp;L.by month'!#REF!,'P&amp;L.by month'!#REF!,'P&amp;L.by month'!#REF!,'P&amp;L.by month'!$W$25,'P&amp;L.by month'!$Y$25,'P&amp;L.by month'!$AB$25,'P&amp;L.by month'!$AF$25,'P&amp;L.by month'!#REF!</definedName>
    <definedName name="QB_FORMULA_16" localSheetId="11" hidden="1">'P&amp;L.current'!$BG$23,'P&amp;L.current'!$BI$23,'P&amp;L.current'!$W$24,'P&amp;L.current'!$Y$24,'P&amp;L.current'!$AB$24,'P&amp;L.current'!$AF$24,'P&amp;L.current'!$AR$24,'P&amp;L.current'!$AX$24,'P&amp;L.current'!$AZ$24,'P&amp;L.current'!$BG$24,'P&amp;L.current'!$BI$24,'P&amp;L.current'!$W$25,'P&amp;L.current'!$Y$25,'P&amp;L.current'!$AB$25,'P&amp;L.current'!$AF$25,'P&amp;L.current'!$AR$25</definedName>
    <definedName name="QB_FORMULA_16" localSheetId="12" hidden="1">'P&amp;L.prior'!#REF!,'P&amp;L.prior'!#REF!,'P&amp;L.prior'!$W$24,'P&amp;L.prior'!$Y$24,'P&amp;L.prior'!$AB$24,'P&amp;L.prior'!$AF$24,'P&amp;L.prior'!#REF!,'P&amp;L.prior'!#REF!,'P&amp;L.prior'!#REF!,'P&amp;L.prior'!#REF!,'P&amp;L.prior'!#REF!,'P&amp;L.prior'!$W$25,'P&amp;L.prior'!$Y$25,'P&amp;L.prior'!$AB$25,'P&amp;L.prior'!$AF$25,'P&amp;L.prior'!#REF!</definedName>
    <definedName name="QB_FORMULA_17" localSheetId="10" hidden="1">'BS by month'!#REF!,'BS by month'!#REF!,'BS by month'!#REF!,'BS by month'!#REF!,'BS by month'!$I$26,'BS by month'!$J$26,'BS by month'!$K$26,'BS by month'!$L$26,'BS by month'!$M$26,'BS by month'!$N$26,'BS by month'!$O$26,'BS by month'!$P$26,'BS by month'!$Q$26,'BS by month'!$R$26,'BS by month'!$S$26,'BS by month'!$T$26</definedName>
    <definedName name="QB_FORMULA_17" localSheetId="13" hidden="1">'P&amp;L.by month'!#REF!,'P&amp;L.by month'!#REF!,'P&amp;L.by month'!#REF!,'P&amp;L.by month'!#REF!,'P&amp;L.by month'!$I$26,'P&amp;L.by month'!$J$26,'P&amp;L.by month'!$K$26,'P&amp;L.by month'!$L$26,'P&amp;L.by month'!$M$26,'P&amp;L.by month'!$N$26,'P&amp;L.by month'!$O$26,'P&amp;L.by month'!$P$26,'P&amp;L.by month'!$Q$26,'P&amp;L.by month'!$R$26,'P&amp;L.by month'!$S$26,'P&amp;L.by month'!$T$26</definedName>
    <definedName name="QB_FORMULA_17" localSheetId="11" hidden="1">'P&amp;L.current'!$AX$25,'P&amp;L.current'!$AZ$25,'P&amp;L.current'!$BG$25,'P&amp;L.current'!$BI$25,'P&amp;L.current'!$I$26,'P&amp;L.current'!$J$26,'P&amp;L.current'!$K$26,'P&amp;L.current'!$L$26,'P&amp;L.current'!$M$26,'P&amp;L.current'!$N$26,'P&amp;L.current'!$O$26,'P&amp;L.current'!$P$26,'P&amp;L.current'!$Q$26,'P&amp;L.current'!$R$26,'P&amp;L.current'!$S$26,'P&amp;L.current'!$T$26</definedName>
    <definedName name="QB_FORMULA_17" localSheetId="12" hidden="1">'P&amp;L.prior'!#REF!,'P&amp;L.prior'!#REF!,'P&amp;L.prior'!#REF!,'P&amp;L.prior'!#REF!,'P&amp;L.prior'!$I$26,'P&amp;L.prior'!$J$26,'P&amp;L.prior'!$K$26,'P&amp;L.prior'!$L$26,'P&amp;L.prior'!$M$26,'P&amp;L.prior'!$N$26,'P&amp;L.prior'!$O$26,'P&amp;L.prior'!$P$26,'P&amp;L.prior'!$Q$26,'P&amp;L.prior'!$R$26,'P&amp;L.prior'!$S$26,'P&amp;L.prior'!$T$26</definedName>
    <definedName name="QB_FORMULA_18" localSheetId="10" hidden="1">'BS by month'!$U$26,'BS by month'!$V$26,'BS by month'!$W$26,'BS by month'!$X$26,'BS by month'!$Y$26,'BS by month'!$Z$26,'BS by month'!$AA$26,'BS by month'!$AB$26,'BS by month'!$AC$26,'BS by month'!$AD$26,'BS by month'!$AE$26,'BS by month'!$AF$26,'BS by month'!$AG$26,'BS by month'!$AH$26,'BS by month'!$AI$26,'BS by month'!$AJ$26</definedName>
    <definedName name="QB_FORMULA_18" localSheetId="13" hidden="1">'P&amp;L.by month'!$U$26,'P&amp;L.by month'!$V$26,'P&amp;L.by month'!$W$26,'P&amp;L.by month'!$X$26,'P&amp;L.by month'!$Y$26,'P&amp;L.by month'!$Z$26,'P&amp;L.by month'!$AA$26,'P&amp;L.by month'!$AB$26,'P&amp;L.by month'!$AC$26,'P&amp;L.by month'!$AD$26,'P&amp;L.by month'!$AE$26,'P&amp;L.by month'!$AF$26,'P&amp;L.by month'!$AG$26,'P&amp;L.by month'!$AH$26,'P&amp;L.by month'!$AI$26,'P&amp;L.by month'!$AJ$26</definedName>
    <definedName name="QB_FORMULA_18" localSheetId="11" hidden="1">'P&amp;L.current'!$U$26,'P&amp;L.current'!$V$26,'P&amp;L.current'!$W$26,'P&amp;L.current'!$X$26,'P&amp;L.current'!$Y$26,'P&amp;L.current'!$Z$26,'P&amp;L.current'!$AA$26,'P&amp;L.current'!$AB$26,'P&amp;L.current'!$AC$26,'P&amp;L.current'!$AD$26,'P&amp;L.current'!$AE$26,'P&amp;L.current'!$AF$26,'P&amp;L.current'!$AG$26,'P&amp;L.current'!$AH$26,'P&amp;L.current'!$AI$26,'P&amp;L.current'!$AJ$26</definedName>
    <definedName name="QB_FORMULA_18" localSheetId="12" hidden="1">'P&amp;L.prior'!$U$26,'P&amp;L.prior'!$V$26,'P&amp;L.prior'!$W$26,'P&amp;L.prior'!$X$26,'P&amp;L.prior'!$Y$26,'P&amp;L.prior'!$Z$26,'P&amp;L.prior'!$AA$26,'P&amp;L.prior'!$AB$26,'P&amp;L.prior'!$AC$26,'P&amp;L.prior'!$AD$26,'P&amp;L.prior'!$AE$26,'P&amp;L.prior'!$AF$26,'P&amp;L.prior'!$AG$26,'P&amp;L.prior'!$AH$26,'P&amp;L.prior'!$AI$26,'P&amp;L.prior'!$AJ$26</definedName>
    <definedName name="QB_FORMULA_19" localSheetId="10" hidden="1">'BS by month'!$AK$26,'BS by month'!$AL$26,'BS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19" localSheetId="13" hidden="1">'P&amp;L.by month'!$AK$26,'P&amp;L.by month'!$AL$26,'P&amp;L.by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19" localSheetId="11" hidden="1">'P&amp;L.current'!$AK$26,'P&amp;L.current'!$AL$26,'P&amp;L.current'!$AM$26,'P&amp;L.current'!$AN$26,'P&amp;L.current'!$AO$26,'P&amp;L.current'!$AP$26,'P&amp;L.current'!$AQ$26,'P&amp;L.current'!$AR$26,'P&amp;L.current'!$AS$26,'P&amp;L.current'!$AT$26,'P&amp;L.current'!$AU$26,'P&amp;L.current'!$AV$26,'P&amp;L.current'!$AW$26,'P&amp;L.current'!$AX$26,'P&amp;L.current'!$AY$26,'P&amp;L.current'!$AZ$26</definedName>
    <definedName name="QB_FORMULA_19" localSheetId="12" hidden="1">'P&amp;L.prior'!$AK$26,'P&amp;L.prior'!$AL$26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2" localSheetId="10" hidden="1">'BS by month'!$N$10,'BS by month'!$O$10,'BS by month'!$P$10,'BS by month'!$Q$10,'BS by month'!$R$10,'BS by month'!$S$10,'BS by month'!$T$10,'BS by month'!$U$10,'BS by month'!$V$10,'BS by month'!$W$10,'BS by month'!$X$10,'BS by month'!$Y$10,'BS by month'!$Z$10,'BS by month'!$AA$10,'BS by month'!$AB$10,'BS by month'!$AC$10</definedName>
    <definedName name="QB_FORMULA_2" localSheetId="13" hidden="1">'P&amp;L.by month'!$N$10,'P&amp;L.by month'!$O$10,'P&amp;L.by month'!$P$10,'P&amp;L.by month'!$Q$10,'P&amp;L.by month'!$R$10,'P&amp;L.by month'!$S$10,'P&amp;L.by month'!$T$10,'P&amp;L.by month'!$U$10,'P&amp;L.by month'!$V$10,'P&amp;L.by month'!$W$10,'P&amp;L.by month'!$X$10,'P&amp;L.by month'!$Y$10,'P&amp;L.by month'!$Z$10,'P&amp;L.by month'!$AA$10,'P&amp;L.by month'!$AB$10,'P&amp;L.by month'!$AC$10</definedName>
    <definedName name="QB_FORMULA_2" localSheetId="11" hidden="1">'P&amp;L.current'!$N$10,'P&amp;L.current'!$O$10,'P&amp;L.current'!$P$10,'P&amp;L.current'!$Q$10,'P&amp;L.current'!$R$10,'P&amp;L.current'!$S$10,'P&amp;L.current'!$T$10,'P&amp;L.current'!$U$10,'P&amp;L.current'!$V$10,'P&amp;L.current'!$W$10,'P&amp;L.current'!$X$10,'P&amp;L.current'!$Y$10,'P&amp;L.current'!$Z$10,'P&amp;L.current'!$AA$10,'P&amp;L.current'!$AB$10,'P&amp;L.current'!$AC$10</definedName>
    <definedName name="QB_FORMULA_2" localSheetId="12" hidden="1">'P&amp;L.prior'!$N$10,'P&amp;L.prior'!$O$10,'P&amp;L.prior'!$P$10,'P&amp;L.prior'!$Q$10,'P&amp;L.prior'!$R$10,'P&amp;L.prior'!$S$10,'P&amp;L.prior'!$T$10,'P&amp;L.prior'!$U$10,'P&amp;L.prior'!$V$10,'P&amp;L.prior'!$W$10,'P&amp;L.prior'!$X$10,'P&amp;L.prior'!$Y$10,'P&amp;L.prior'!$Z$10,'P&amp;L.prior'!$AA$10,'P&amp;L.prior'!$AB$10,'P&amp;L.prior'!$AC$10</definedName>
    <definedName name="QB_FORMULA_20" localSheetId="10" hidden="1">'BS by month'!#REF!,'BS by month'!#REF!,'BS by month'!#REF!,'BS by month'!#REF!,'BS by month'!#REF!,'BS by month'!#REF!,'BS by month'!#REF!,'BS by month'!#REF!,'BS by month'!#REF!,'BS by month'!$W$27,'BS by month'!$Y$27,'BS by month'!$AB$27,'BS by month'!$AF$27,'BS by month'!#REF!,'BS by month'!#REF!,'BS by month'!#REF!</definedName>
    <definedName name="QB_FORMULA_20" localSheetId="13" hidden="1">'P&amp;L.by month'!#REF!,'P&amp;L.by month'!#REF!,'P&amp;L.by month'!#REF!,'P&amp;L.by month'!#REF!,'P&amp;L.by month'!#REF!,'P&amp;L.by month'!#REF!,'P&amp;L.by month'!#REF!,'P&amp;L.by month'!#REF!,'P&amp;L.by month'!#REF!,'P&amp;L.by month'!$W$27,'P&amp;L.by month'!$Y$27,'P&amp;L.by month'!$AB$27,'P&amp;L.by month'!$AF$27,'P&amp;L.by month'!#REF!,'P&amp;L.by month'!#REF!,'P&amp;L.by month'!#REF!</definedName>
    <definedName name="QB_FORMULA_20" localSheetId="11" hidden="1">'P&amp;L.current'!$BA$26,'P&amp;L.current'!$BB$26,'P&amp;L.current'!$BC$26,'P&amp;L.current'!$BD$26,'P&amp;L.current'!$BE$26,'P&amp;L.current'!$BF$26,'P&amp;L.current'!$BG$26,'P&amp;L.current'!$BH$26,'P&amp;L.current'!$BI$26,'P&amp;L.current'!$W$27,'P&amp;L.current'!$Y$27,'P&amp;L.current'!$AB$27,'P&amp;L.current'!$AF$27,'P&amp;L.current'!$AR$27,'P&amp;L.current'!$AX$27,'P&amp;L.current'!$AZ$27</definedName>
    <definedName name="QB_FORMULA_20" localSheetId="12" hidden="1">'P&amp;L.prior'!#REF!,'P&amp;L.prior'!#REF!,'P&amp;L.prior'!#REF!,'P&amp;L.prior'!#REF!,'P&amp;L.prior'!#REF!,'P&amp;L.prior'!#REF!,'P&amp;L.prior'!#REF!,'P&amp;L.prior'!#REF!,'P&amp;L.prior'!#REF!,'P&amp;L.prior'!$W$27,'P&amp;L.prior'!$Y$27,'P&amp;L.prior'!$AB$27,'P&amp;L.prior'!$AF$27,'P&amp;L.prior'!#REF!,'P&amp;L.prior'!#REF!,'P&amp;L.prior'!#REF!</definedName>
    <definedName name="QB_FORMULA_21" localSheetId="10" hidden="1">'BS by month'!#REF!,'BS by month'!#REF!,'BS by month'!$W$29,'BS by month'!$Y$29,'BS by month'!$AB$29,'BS by month'!$AF$29,'BS by month'!#REF!,'BS by month'!#REF!,'BS by month'!#REF!,'BS by month'!#REF!,'BS by month'!#REF!,'BS by month'!$I$30,'BS by month'!$J$30,'BS by month'!$K$30,'BS by month'!$L$30,'BS by month'!$M$30</definedName>
    <definedName name="QB_FORMULA_21" localSheetId="13" hidden="1">'P&amp;L.by month'!#REF!,'P&amp;L.by month'!#REF!,'P&amp;L.by month'!$W$29,'P&amp;L.by month'!$Y$29,'P&amp;L.by month'!$AB$29,'P&amp;L.by month'!$AF$29,'P&amp;L.by month'!#REF!,'P&amp;L.by month'!#REF!,'P&amp;L.by month'!#REF!,'P&amp;L.by month'!#REF!,'P&amp;L.by month'!#REF!,'P&amp;L.by month'!$I$30,'P&amp;L.by month'!$J$30,'P&amp;L.by month'!$K$30,'P&amp;L.by month'!$L$30,'P&amp;L.by month'!$M$30</definedName>
    <definedName name="QB_FORMULA_21" localSheetId="11" hidden="1">'P&amp;L.current'!$BG$27,'P&amp;L.current'!$BI$27,'P&amp;L.current'!$W$29,'P&amp;L.current'!$Y$29,'P&amp;L.current'!$AB$29,'P&amp;L.current'!$AF$29,'P&amp;L.current'!$AR$29,'P&amp;L.current'!$AX$29,'P&amp;L.current'!$AZ$29,'P&amp;L.current'!$BG$29,'P&amp;L.current'!$BI$29,'P&amp;L.current'!$I$30,'P&amp;L.current'!$J$30,'P&amp;L.current'!$K$30,'P&amp;L.current'!$L$30,'P&amp;L.current'!$M$30</definedName>
    <definedName name="QB_FORMULA_21" localSheetId="12" hidden="1">'P&amp;L.prior'!#REF!,'P&amp;L.prior'!#REF!,'P&amp;L.prior'!$W$29,'P&amp;L.prior'!$Y$29,'P&amp;L.prior'!$AB$29,'P&amp;L.prior'!$AF$29,'P&amp;L.prior'!#REF!,'P&amp;L.prior'!#REF!,'P&amp;L.prior'!#REF!,'P&amp;L.prior'!#REF!,'P&amp;L.prior'!#REF!,'P&amp;L.prior'!$I$30,'P&amp;L.prior'!$J$30,'P&amp;L.prior'!$K$30,'P&amp;L.prior'!$L$30,'P&amp;L.prior'!$M$30</definedName>
    <definedName name="QB_FORMULA_22" localSheetId="10" hidden="1">'BS by month'!$N$30,'BS by month'!$O$30,'BS by month'!$P$30,'BS by month'!$Q$30,'BS by month'!$R$30,'BS by month'!$S$30,'BS by month'!$T$30,'BS by month'!$U$30,'BS by month'!$V$30,'BS by month'!$W$30,'BS by month'!$X$30,'BS by month'!$Y$30,'BS by month'!$Z$30,'BS by month'!$AA$30,'BS by month'!$AB$30,'BS by month'!$AC$30</definedName>
    <definedName name="QB_FORMULA_22" localSheetId="13" hidden="1">'P&amp;L.by month'!$N$30,'P&amp;L.by month'!$O$30,'P&amp;L.by month'!$P$30,'P&amp;L.by month'!$Q$30,'P&amp;L.by month'!$R$30,'P&amp;L.by month'!$S$30,'P&amp;L.by month'!$T$30,'P&amp;L.by month'!$U$30,'P&amp;L.by month'!$V$30,'P&amp;L.by month'!$W$30,'P&amp;L.by month'!$X$30,'P&amp;L.by month'!$Y$30,'P&amp;L.by month'!$Z$30,'P&amp;L.by month'!$AA$30,'P&amp;L.by month'!$AB$30,'P&amp;L.by month'!$AC$30</definedName>
    <definedName name="QB_FORMULA_22" localSheetId="11" hidden="1">'P&amp;L.current'!$N$30,'P&amp;L.current'!$O$30,'P&amp;L.current'!$P$30,'P&amp;L.current'!$Q$30,'P&amp;L.current'!$R$30,'P&amp;L.current'!$S$30,'P&amp;L.current'!$T$30,'P&amp;L.current'!$U$30,'P&amp;L.current'!$V$30,'P&amp;L.current'!$W$30,'P&amp;L.current'!$X$30,'P&amp;L.current'!$Y$30,'P&amp;L.current'!$Z$30,'P&amp;L.current'!$AA$30,'P&amp;L.current'!$AB$30,'P&amp;L.current'!$AC$30</definedName>
    <definedName name="QB_FORMULA_22" localSheetId="12" hidden="1">'P&amp;L.prior'!$N$30,'P&amp;L.prior'!$O$30,'P&amp;L.prior'!$P$30,'P&amp;L.prior'!$Q$30,'P&amp;L.prior'!$R$30,'P&amp;L.prior'!$S$30,'P&amp;L.prior'!$T$30,'P&amp;L.prior'!$U$30,'P&amp;L.prior'!$V$30,'P&amp;L.prior'!$W$30,'P&amp;L.prior'!$X$30,'P&amp;L.prior'!$Y$30,'P&amp;L.prior'!$Z$30,'P&amp;L.prior'!$AA$30,'P&amp;L.prior'!$AB$30,'P&amp;L.prior'!$AC$30</definedName>
    <definedName name="QB_FORMULA_23" localSheetId="10" hidden="1">'BS by month'!$AD$30,'BS by month'!$AE$30,'BS by month'!$AF$30,'BS by month'!$AG$30,'BS by month'!$AH$30,'BS by month'!$AI$30,'BS by month'!$AJ$30,'BS by month'!$AK$30,'BS by month'!$AL$30,'BS by month'!#REF!,'BS by month'!#REF!,'BS by month'!#REF!,'BS by month'!#REF!,'BS by month'!#REF!,'BS by month'!#REF!,'BS by month'!#REF!</definedName>
    <definedName name="QB_FORMULA_23" localSheetId="13" hidden="1">'P&amp;L.by month'!$AD$30,'P&amp;L.by month'!$AE$30,'P&amp;L.by month'!$AF$30,'P&amp;L.by month'!$AG$30,'P&amp;L.by month'!$AH$30,'P&amp;L.by month'!$AI$30,'P&amp;L.by month'!$AJ$30,'P&amp;L.by month'!$AK$30,'P&amp;L.by month'!$AL$30,'P&amp;L.by month'!#REF!,'P&amp;L.by month'!#REF!,'P&amp;L.by month'!#REF!,'P&amp;L.by month'!#REF!,'P&amp;L.by month'!#REF!,'P&amp;L.by month'!#REF!,'P&amp;L.by month'!#REF!</definedName>
    <definedName name="QB_FORMULA_23" localSheetId="11" hidden="1">'P&amp;L.current'!$AD$30,'P&amp;L.current'!$AE$30,'P&amp;L.current'!$AF$30,'P&amp;L.current'!$AG$30,'P&amp;L.current'!$AH$30,'P&amp;L.current'!$AI$30,'P&amp;L.current'!$AJ$30,'P&amp;L.current'!$AK$30,'P&amp;L.current'!$AL$30,'P&amp;L.current'!$AM$30,'P&amp;L.current'!$AN$30,'P&amp;L.current'!$AO$30,'P&amp;L.current'!$AP$30,'P&amp;L.current'!$AQ$30,'P&amp;L.current'!$AR$30,'P&amp;L.current'!$AS$30</definedName>
    <definedName name="QB_FORMULA_23" localSheetId="12" hidden="1">'P&amp;L.prior'!$AD$30,'P&amp;L.prior'!$AE$30,'P&amp;L.prior'!$AF$30,'P&amp;L.prior'!$AG$30,'P&amp;L.prior'!$AH$30,'P&amp;L.prior'!$AI$30,'P&amp;L.prior'!$AJ$30,'P&amp;L.prior'!$AK$30,'P&amp;L.prior'!$AL$30,'P&amp;L.prior'!#REF!,'P&amp;L.prior'!#REF!,'P&amp;L.prior'!#REF!,'P&amp;L.prior'!#REF!,'P&amp;L.prior'!#REF!,'P&amp;L.prior'!#REF!,'P&amp;L.prior'!#REF!</definedName>
    <definedName name="QB_FORMULA_24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24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24" localSheetId="11" hidden="1">'P&amp;L.current'!$AT$30,'P&amp;L.current'!$AU$30,'P&amp;L.current'!$AV$30,'P&amp;L.current'!$AW$30,'P&amp;L.current'!$AX$30,'P&amp;L.current'!$AY$30,'P&amp;L.current'!$AZ$30,'P&amp;L.current'!$BA$30,'P&amp;L.current'!$BB$30,'P&amp;L.current'!$BC$30,'P&amp;L.current'!$BD$30,'P&amp;L.current'!$BE$30,'P&amp;L.current'!$BF$30,'P&amp;L.current'!$BG$30,'P&amp;L.current'!$BH$30,'P&amp;L.current'!$BI$30</definedName>
    <definedName name="QB_FORMULA_24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25" localSheetId="10" hidden="1">'BS by month'!$W$31,'BS by month'!$Y$31,'BS by month'!$AB$31,'BS by month'!$AF$31,'BS by month'!#REF!,'BS by month'!#REF!,'BS by month'!#REF!,'BS by month'!#REF!,'BS by month'!#REF!,'BS by month'!$W$33,'BS by month'!$Y$33,'BS by month'!$AB$33,'BS by month'!$AF$33,'BS by month'!#REF!,'BS by month'!#REF!,'BS by month'!#REF!</definedName>
    <definedName name="QB_FORMULA_25" localSheetId="13" hidden="1">'P&amp;L.by month'!$W$31,'P&amp;L.by month'!$Y$31,'P&amp;L.by month'!$AB$31,'P&amp;L.by month'!$AF$31,'P&amp;L.by month'!#REF!,'P&amp;L.by month'!#REF!,'P&amp;L.by month'!#REF!,'P&amp;L.by month'!#REF!,'P&amp;L.by month'!#REF!,'P&amp;L.by month'!$W$33,'P&amp;L.by month'!$Y$33,'P&amp;L.by month'!$AB$33,'P&amp;L.by month'!$AF$33,'P&amp;L.by month'!#REF!,'P&amp;L.by month'!#REF!,'P&amp;L.by month'!#REF!</definedName>
    <definedName name="QB_FORMULA_25" localSheetId="11" hidden="1">'P&amp;L.current'!$W$31,'P&amp;L.current'!$Y$31,'P&amp;L.current'!$AB$31,'P&amp;L.current'!$AF$31,'P&amp;L.current'!$AR$31,'P&amp;L.current'!$AX$31,'P&amp;L.current'!$AZ$31,'P&amp;L.current'!$BG$31,'P&amp;L.current'!$BI$31,'P&amp;L.current'!$W$33,'P&amp;L.current'!$Y$33,'P&amp;L.current'!$AB$33,'P&amp;L.current'!$AF$33,'P&amp;L.current'!$AR$33,'P&amp;L.current'!$AX$33,'P&amp;L.current'!$AZ$33</definedName>
    <definedName name="QB_FORMULA_25" localSheetId="12" hidden="1">'P&amp;L.prior'!$W$31,'P&amp;L.prior'!$Y$31,'P&amp;L.prior'!$AB$31,'P&amp;L.prior'!$AF$31,'P&amp;L.prior'!#REF!,'P&amp;L.prior'!#REF!,'P&amp;L.prior'!#REF!,'P&amp;L.prior'!#REF!,'P&amp;L.prior'!#REF!,'P&amp;L.prior'!$W$33,'P&amp;L.prior'!$Y$33,'P&amp;L.prior'!$AB$33,'P&amp;L.prior'!$AF$33,'P&amp;L.prior'!#REF!,'P&amp;L.prior'!#REF!,'P&amp;L.prior'!#REF!</definedName>
    <definedName name="QB_FORMULA_26" localSheetId="10" hidden="1">'BS by month'!#REF!,'BS by month'!#REF!,'BS by month'!$I$34,'BS by month'!$J$34,'BS by month'!$K$34,'BS by month'!$L$34,'BS by month'!$M$34,'BS by month'!$N$34,'BS by month'!$O$34,'BS by month'!$P$34,'BS by month'!$Q$34,'BS by month'!$R$34,'BS by month'!$S$34,'BS by month'!$T$34,'BS by month'!$U$34,'BS by month'!$V$34</definedName>
    <definedName name="QB_FORMULA_26" localSheetId="13" hidden="1">'P&amp;L.by month'!#REF!,'P&amp;L.by month'!#REF!,'P&amp;L.by month'!$I$34,'P&amp;L.by month'!$J$34,'P&amp;L.by month'!$K$34,'P&amp;L.by month'!$L$34,'P&amp;L.by month'!$M$34,'P&amp;L.by month'!$N$34,'P&amp;L.by month'!$O$34,'P&amp;L.by month'!$P$34,'P&amp;L.by month'!$Q$34,'P&amp;L.by month'!$R$34,'P&amp;L.by month'!$S$34,'P&amp;L.by month'!$T$34,'P&amp;L.by month'!$U$34,'P&amp;L.by month'!$V$34</definedName>
    <definedName name="QB_FORMULA_26" localSheetId="11" hidden="1">'P&amp;L.current'!$BG$33,'P&amp;L.current'!$BI$33,'P&amp;L.current'!$I$34,'P&amp;L.current'!$J$34,'P&amp;L.current'!$K$34,'P&amp;L.current'!$L$34,'P&amp;L.current'!$M$34,'P&amp;L.current'!$N$34,'P&amp;L.current'!$O$34,'P&amp;L.current'!$P$34,'P&amp;L.current'!$Q$34,'P&amp;L.current'!$R$34,'P&amp;L.current'!$S$34,'P&amp;L.current'!$T$34,'P&amp;L.current'!$U$34,'P&amp;L.current'!$V$34</definedName>
    <definedName name="QB_FORMULA_26" localSheetId="12" hidden="1">'P&amp;L.prior'!#REF!,'P&amp;L.prior'!#REF!,'P&amp;L.prior'!$I$34,'P&amp;L.prior'!$J$34,'P&amp;L.prior'!$K$34,'P&amp;L.prior'!$L$34,'P&amp;L.prior'!$M$34,'P&amp;L.prior'!$N$34,'P&amp;L.prior'!$O$34,'P&amp;L.prior'!$P$34,'P&amp;L.prior'!$Q$34,'P&amp;L.prior'!$R$34,'P&amp;L.prior'!$S$34,'P&amp;L.prior'!$T$34,'P&amp;L.prior'!$U$34,'P&amp;L.prior'!$V$34</definedName>
    <definedName name="QB_FORMULA_27" localSheetId="10" hidden="1">'BS by month'!$W$34,'BS by month'!$X$34,'BS by month'!$Y$34,'BS by month'!$Z$34,'BS by month'!$AA$34,'BS by month'!$AB$34,'BS by month'!$AC$34,'BS by month'!$AD$34,'BS by month'!$AE$34,'BS by month'!$AF$34,'BS by month'!$AG$34,'BS by month'!$AH$34,'BS by month'!$AI$34,'BS by month'!$AJ$34,'BS by month'!$AK$34,'BS by month'!$AL$34</definedName>
    <definedName name="QB_FORMULA_27" localSheetId="13" hidden="1">'P&amp;L.by month'!$W$34,'P&amp;L.by month'!$X$34,'P&amp;L.by month'!$Y$34,'P&amp;L.by month'!$Z$34,'P&amp;L.by month'!$AA$34,'P&amp;L.by month'!$AB$34,'P&amp;L.by month'!$AC$34,'P&amp;L.by month'!$AD$34,'P&amp;L.by month'!$AE$34,'P&amp;L.by month'!$AF$34,'P&amp;L.by month'!$AG$34,'P&amp;L.by month'!$AH$34,'P&amp;L.by month'!$AI$34,'P&amp;L.by month'!$AJ$34,'P&amp;L.by month'!$AK$34,'P&amp;L.by month'!$AL$34</definedName>
    <definedName name="QB_FORMULA_27" localSheetId="11" hidden="1">'P&amp;L.current'!$W$34,'P&amp;L.current'!$X$34,'P&amp;L.current'!$Y$34,'P&amp;L.current'!$Z$34,'P&amp;L.current'!$AA$34,'P&amp;L.current'!$AB$34,'P&amp;L.current'!$AC$34,'P&amp;L.current'!$AD$34,'P&amp;L.current'!$AE$34,'P&amp;L.current'!$AF$34,'P&amp;L.current'!$AG$34,'P&amp;L.current'!$AH$34,'P&amp;L.current'!$AI$34,'P&amp;L.current'!$AJ$34,'P&amp;L.current'!$AK$34,'P&amp;L.current'!$AL$34</definedName>
    <definedName name="QB_FORMULA_27" localSheetId="12" hidden="1">'P&amp;L.prior'!$W$34,'P&amp;L.prior'!$X$34,'P&amp;L.prior'!$Y$34,'P&amp;L.prior'!$Z$34,'P&amp;L.prior'!$AA$34,'P&amp;L.prior'!$AB$34,'P&amp;L.prior'!$AC$34,'P&amp;L.prior'!$AD$34,'P&amp;L.prior'!$AE$34,'P&amp;L.prior'!$AF$34,'P&amp;L.prior'!$AG$34,'P&amp;L.prior'!$AH$34,'P&amp;L.prior'!$AI$34,'P&amp;L.prior'!$AJ$34,'P&amp;L.prior'!$AK$34,'P&amp;L.prior'!$AL$34</definedName>
    <definedName name="QB_FORMULA_28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28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28" localSheetId="11" hidden="1">'P&amp;L.current'!$AM$34,'P&amp;L.current'!$AN$34,'P&amp;L.current'!$AO$34,'P&amp;L.current'!$AP$34,'P&amp;L.current'!$AQ$34,'P&amp;L.current'!$AR$34,'P&amp;L.current'!$AS$34,'P&amp;L.current'!$AT$34,'P&amp;L.current'!$AU$34,'P&amp;L.current'!$AV$34,'P&amp;L.current'!$AW$34,'P&amp;L.current'!$AX$34,'P&amp;L.current'!$AY$34,'P&amp;L.current'!$AZ$34,'P&amp;L.current'!$BA$34,'P&amp;L.current'!$BB$34</definedName>
    <definedName name="QB_FORMULA_28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29" localSheetId="10" hidden="1">'BS by month'!#REF!,'BS by month'!#REF!,'BS by month'!#REF!,'BS by month'!#REF!,'BS by month'!#REF!,'BS by month'!#REF!,'BS by month'!#REF!,'BS by month'!$W$36,'BS by month'!$Y$36,'BS by month'!$AB$36,'BS by month'!$AF$36,'BS by month'!#REF!,'BS by month'!#REF!,'BS by month'!#REF!,'BS by month'!#REF!,'BS by month'!#REF!</definedName>
    <definedName name="QB_FORMULA_29" localSheetId="13" hidden="1">'P&amp;L.by month'!#REF!,'P&amp;L.by month'!#REF!,'P&amp;L.by month'!#REF!,'P&amp;L.by month'!#REF!,'P&amp;L.by month'!#REF!,'P&amp;L.by month'!#REF!,'P&amp;L.by month'!#REF!,'P&amp;L.by month'!$W$36,'P&amp;L.by month'!$Y$36,'P&amp;L.by month'!$AB$36,'P&amp;L.by month'!$AF$36,'P&amp;L.by month'!#REF!,'P&amp;L.by month'!#REF!,'P&amp;L.by month'!#REF!,'P&amp;L.by month'!#REF!,'P&amp;L.by month'!#REF!</definedName>
    <definedName name="QB_FORMULA_29" localSheetId="11" hidden="1">'P&amp;L.current'!$BC$34,'P&amp;L.current'!$BD$34,'P&amp;L.current'!$BE$34,'P&amp;L.current'!$BF$34,'P&amp;L.current'!$BG$34,'P&amp;L.current'!$BH$34,'P&amp;L.current'!$BI$34,'P&amp;L.current'!$W$36,'P&amp;L.current'!$Y$36,'P&amp;L.current'!$AB$36,'P&amp;L.current'!$AF$36,'P&amp;L.current'!$AR$36,'P&amp;L.current'!$AX$36,'P&amp;L.current'!$AZ$36,'P&amp;L.current'!$BG$36,'P&amp;L.current'!$BI$36</definedName>
    <definedName name="QB_FORMULA_29" localSheetId="12" hidden="1">'P&amp;L.prior'!#REF!,'P&amp;L.prior'!#REF!,'P&amp;L.prior'!#REF!,'P&amp;L.prior'!#REF!,'P&amp;L.prior'!#REF!,'P&amp;L.prior'!#REF!,'P&amp;L.prior'!#REF!,'P&amp;L.prior'!$W$36,'P&amp;L.prior'!$Y$36,'P&amp;L.prior'!$AB$36,'P&amp;L.prior'!$AF$36,'P&amp;L.prior'!#REF!,'P&amp;L.prior'!#REF!,'P&amp;L.prior'!#REF!,'P&amp;L.prior'!#REF!,'P&amp;L.prior'!#REF!</definedName>
    <definedName name="QB_FORMULA_3" localSheetId="10" hidden="1">'BS by month'!$AD$10,'BS by month'!$AE$10,'BS by month'!$AF$10,'BS by month'!$AG$10,'BS by month'!$AH$10,'BS by month'!$AI$10,'BS by month'!$AJ$10,'BS by month'!$AK$10,'BS by month'!$AL$10,'BS by month'!#REF!,'BS by month'!#REF!,'BS by month'!#REF!,'BS by month'!#REF!,'BS by month'!#REF!,'BS by month'!#REF!,'BS by month'!#REF!</definedName>
    <definedName name="QB_FORMULA_3" localSheetId="13" hidden="1">'P&amp;L.by month'!$AD$10,'P&amp;L.by month'!$AE$10,'P&amp;L.by month'!$AF$10,'P&amp;L.by month'!$AG$10,'P&amp;L.by month'!$AH$10,'P&amp;L.by month'!$AI$10,'P&amp;L.by month'!$AJ$10,'P&amp;L.by month'!$AK$10,'P&amp;L.by month'!$AL$10,'P&amp;L.by month'!#REF!,'P&amp;L.by month'!#REF!,'P&amp;L.by month'!#REF!,'P&amp;L.by month'!#REF!,'P&amp;L.by month'!#REF!,'P&amp;L.by month'!#REF!,'P&amp;L.by month'!#REF!</definedName>
    <definedName name="QB_FORMULA_3" localSheetId="11" hidden="1">'P&amp;L.current'!$AD$10,'P&amp;L.current'!$AE$10,'P&amp;L.current'!$AF$10,'P&amp;L.current'!$AG$10,'P&amp;L.current'!$AH$10,'P&amp;L.current'!$AI$10,'P&amp;L.current'!$AJ$10,'P&amp;L.current'!$AK$10,'P&amp;L.current'!$AL$10,'P&amp;L.current'!$AM$10,'P&amp;L.current'!$AN$10,'P&amp;L.current'!$AO$10,'P&amp;L.current'!$AP$10,'P&amp;L.current'!$AQ$10,'P&amp;L.current'!$AR$10,'P&amp;L.current'!$AS$10</definedName>
    <definedName name="QB_FORMULA_3" localSheetId="12" hidden="1">'P&amp;L.prior'!$AD$10,'P&amp;L.prior'!$AE$10,'P&amp;L.prior'!$AF$10,'P&amp;L.prior'!$AG$10,'P&amp;L.prior'!$AH$10,'P&amp;L.prior'!$AI$10,'P&amp;L.prior'!$AJ$10,'P&amp;L.prior'!$AK$10,'P&amp;L.prior'!$AL$10,'P&amp;L.prior'!#REF!,'P&amp;L.prior'!#REF!,'P&amp;L.prior'!#REF!,'P&amp;L.prior'!#REF!,'P&amp;L.prior'!#REF!,'P&amp;L.prior'!#REF!,'P&amp;L.prior'!#REF!</definedName>
    <definedName name="QB_FORMULA_30" localSheetId="10" hidden="1">'BS by month'!$W$37,'BS by month'!$Y$37,'BS by month'!$AB$37,'BS by month'!$AF$37,'BS by month'!#REF!,'BS by month'!#REF!,'BS by month'!#REF!,'BS by month'!#REF!,'BS by month'!#REF!,'BS by month'!$I$38,'BS by month'!$J$38,'BS by month'!$K$38,'BS by month'!$L$38,'BS by month'!$M$38,'BS by month'!$N$38,'BS by month'!$O$38</definedName>
    <definedName name="QB_FORMULA_30" localSheetId="13" hidden="1">'P&amp;L.by month'!$W$37,'P&amp;L.by month'!$Y$37,'P&amp;L.by month'!$AB$37,'P&amp;L.by month'!$AF$37,'P&amp;L.by month'!#REF!,'P&amp;L.by month'!#REF!,'P&amp;L.by month'!#REF!,'P&amp;L.by month'!#REF!,'P&amp;L.by month'!#REF!,'P&amp;L.by month'!$I$38,'P&amp;L.by month'!$J$38,'P&amp;L.by month'!$K$38,'P&amp;L.by month'!$L$38,'P&amp;L.by month'!$M$38,'P&amp;L.by month'!$N$38,'P&amp;L.by month'!$O$38</definedName>
    <definedName name="QB_FORMULA_30" localSheetId="11" hidden="1">'P&amp;L.current'!$W$37,'P&amp;L.current'!$Y$37,'P&amp;L.current'!$AB$37,'P&amp;L.current'!$AF$37,'P&amp;L.current'!$AR$37,'P&amp;L.current'!$AX$37,'P&amp;L.current'!$AZ$37,'P&amp;L.current'!$BG$37,'P&amp;L.current'!$BI$37,'P&amp;L.current'!$I$38,'P&amp;L.current'!$J$38,'P&amp;L.current'!$K$38,'P&amp;L.current'!$L$38,'P&amp;L.current'!$M$38,'P&amp;L.current'!$N$38,'P&amp;L.current'!$O$38</definedName>
    <definedName name="QB_FORMULA_30" localSheetId="12" hidden="1">'P&amp;L.prior'!$W$37,'P&amp;L.prior'!$Y$37,'P&amp;L.prior'!$AB$37,'P&amp;L.prior'!$AF$37,'P&amp;L.prior'!#REF!,'P&amp;L.prior'!#REF!,'P&amp;L.prior'!#REF!,'P&amp;L.prior'!#REF!,'P&amp;L.prior'!#REF!,'P&amp;L.prior'!$I$38,'P&amp;L.prior'!$J$38,'P&amp;L.prior'!$K$38,'P&amp;L.prior'!$L$38,'P&amp;L.prior'!$M$38,'P&amp;L.prior'!$N$38,'P&amp;L.prior'!$O$38</definedName>
    <definedName name="QB_FORMULA_31" localSheetId="10" hidden="1">'BS by month'!$P$38,'BS by month'!$Q$38,'BS by month'!$R$38,'BS by month'!$S$38,'BS by month'!$T$38,'BS by month'!$U$38,'BS by month'!$V$38,'BS by month'!$W$38,'BS by month'!$X$38,'BS by month'!$Y$38,'BS by month'!$Z$38,'BS by month'!$AA$38,'BS by month'!$AB$38,'BS by month'!$AC$38,'BS by month'!$AD$38,'BS by month'!$AE$38</definedName>
    <definedName name="QB_FORMULA_31" localSheetId="13" hidden="1">'P&amp;L.by month'!$P$38,'P&amp;L.by month'!$Q$38,'P&amp;L.by month'!$R$38,'P&amp;L.by month'!$S$38,'P&amp;L.by month'!$T$38,'P&amp;L.by month'!$U$38,'P&amp;L.by month'!$V$38,'P&amp;L.by month'!$W$38,'P&amp;L.by month'!$X$38,'P&amp;L.by month'!$Y$38,'P&amp;L.by month'!$Z$38,'P&amp;L.by month'!$AA$38,'P&amp;L.by month'!$AB$38,'P&amp;L.by month'!$AC$38,'P&amp;L.by month'!$AD$38,'P&amp;L.by month'!$AE$38</definedName>
    <definedName name="QB_FORMULA_31" localSheetId="11" hidden="1">'P&amp;L.current'!$P$38,'P&amp;L.current'!$Q$38,'P&amp;L.current'!$R$38,'P&amp;L.current'!$S$38,'P&amp;L.current'!$T$38,'P&amp;L.current'!$U$38,'P&amp;L.current'!$V$38,'P&amp;L.current'!$W$38,'P&amp;L.current'!$X$38,'P&amp;L.current'!$Y$38,'P&amp;L.current'!$Z$38,'P&amp;L.current'!$AA$38,'P&amp;L.current'!$AB$38,'P&amp;L.current'!$AC$38,'P&amp;L.current'!$AD$38,'P&amp;L.current'!$AE$38</definedName>
    <definedName name="QB_FORMULA_31" localSheetId="12" hidden="1">'P&amp;L.prior'!$P$38,'P&amp;L.prior'!$Q$38,'P&amp;L.prior'!$R$38,'P&amp;L.prior'!$S$38,'P&amp;L.prior'!$T$38,'P&amp;L.prior'!$U$38,'P&amp;L.prior'!$V$38,'P&amp;L.prior'!$W$38,'P&amp;L.prior'!$X$38,'P&amp;L.prior'!$Y$38,'P&amp;L.prior'!$Z$38,'P&amp;L.prior'!$AA$38,'P&amp;L.prior'!$AB$38,'P&amp;L.prior'!$AC$38,'P&amp;L.prior'!$AD$38,'P&amp;L.prior'!$AE$38</definedName>
    <definedName name="QB_FORMULA_32" localSheetId="10" hidden="1">'BS by month'!$AF$38,'BS by month'!$AG$38,'BS by month'!$AH$38,'BS by month'!$AI$38,'BS by month'!$AJ$38,'BS by month'!$AK$38,'BS by month'!$AL$38,'BS by month'!#REF!,'BS by month'!#REF!,'BS by month'!#REF!,'BS by month'!#REF!,'BS by month'!#REF!,'BS by month'!#REF!,'BS by month'!#REF!,'BS by month'!#REF!,'BS by month'!#REF!</definedName>
    <definedName name="QB_FORMULA_32" localSheetId="13" hidden="1">'P&amp;L.by month'!$AF$38,'P&amp;L.by month'!$AG$38,'P&amp;L.by month'!$AH$38,'P&amp;L.by month'!$AI$38,'P&amp;L.by month'!$AJ$38,'P&amp;L.by month'!$AK$38,'P&amp;L.by month'!$AL$38,'P&amp;L.by month'!#REF!,'P&amp;L.by month'!#REF!,'P&amp;L.by month'!#REF!,'P&amp;L.by month'!#REF!,'P&amp;L.by month'!#REF!,'P&amp;L.by month'!#REF!,'P&amp;L.by month'!#REF!,'P&amp;L.by month'!#REF!,'P&amp;L.by month'!#REF!</definedName>
    <definedName name="QB_FORMULA_32" localSheetId="11" hidden="1">'P&amp;L.current'!$AF$38,'P&amp;L.current'!$AG$38,'P&amp;L.current'!$AH$38,'P&amp;L.current'!$AI$38,'P&amp;L.current'!$AJ$38,'P&amp;L.current'!$AK$38,'P&amp;L.current'!$AL$38,'P&amp;L.current'!$AM$38,'P&amp;L.current'!$AN$38,'P&amp;L.current'!$AO$38,'P&amp;L.current'!$AP$38,'P&amp;L.current'!$AQ$38,'P&amp;L.current'!$AR$38,'P&amp;L.current'!$AS$38,'P&amp;L.current'!$AT$38,'P&amp;L.current'!$AU$38</definedName>
    <definedName name="QB_FORMULA_32" localSheetId="12" hidden="1">'P&amp;L.prior'!$AF$38,'P&amp;L.prior'!$AG$38,'P&amp;L.prior'!$AH$38,'P&amp;L.prior'!$AI$38,'P&amp;L.prior'!$AJ$38,'P&amp;L.prior'!$AK$38,'P&amp;L.prior'!$AL$38,'P&amp;L.prior'!#REF!,'P&amp;L.prior'!#REF!,'P&amp;L.prior'!#REF!,'P&amp;L.prior'!#REF!,'P&amp;L.prior'!#REF!,'P&amp;L.prior'!#REF!,'P&amp;L.prior'!#REF!,'P&amp;L.prior'!#REF!,'P&amp;L.prior'!#REF!</definedName>
    <definedName name="QB_FORMULA_33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month'!$I$39,'BS by month'!$J$39</definedName>
    <definedName name="QB_FORMULA_33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month'!$I$39,'P&amp;L.by month'!$J$39</definedName>
    <definedName name="QB_FORMULA_33" localSheetId="11" hidden="1">'P&amp;L.current'!$AV$38,'P&amp;L.current'!$AW$38,'P&amp;L.current'!$AX$38,'P&amp;L.current'!$AY$38,'P&amp;L.current'!$AZ$38,'P&amp;L.current'!$BA$38,'P&amp;L.current'!$BB$38,'P&amp;L.current'!$BC$38,'P&amp;L.current'!$BD$38,'P&amp;L.current'!$BE$38,'P&amp;L.current'!$BF$38,'P&amp;L.current'!$BG$38,'P&amp;L.current'!$BH$38,'P&amp;L.current'!$BI$38,'P&amp;L.current'!$I$39,'P&amp;L.current'!$J$39</definedName>
    <definedName name="QB_FORMULA_33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$I$39,'P&amp;L.prior'!$J$39</definedName>
    <definedName name="QB_FORMULA_34" localSheetId="10" hidden="1">'BS by month'!$K$39,'BS by month'!$L$39,'BS by month'!$M$39,'BS by month'!$N$39,'BS by month'!$O$39,'BS by month'!$P$39,'BS by month'!$Q$39,'BS by month'!$R$39,'BS by month'!$S$39,'BS by month'!$T$39,'BS by month'!$U$39,'BS by month'!$V$39,'BS by month'!$W$39,'BS by month'!$X$39,'BS by month'!$Y$39,'BS by month'!$Z$39</definedName>
    <definedName name="QB_FORMULA_34" localSheetId="13" hidden="1">'P&amp;L.by month'!$K$39,'P&amp;L.by month'!$L$39,'P&amp;L.by month'!$M$39,'P&amp;L.by month'!$N$39,'P&amp;L.by month'!$O$39,'P&amp;L.by month'!$P$39,'P&amp;L.by month'!$Q$39,'P&amp;L.by month'!$R$39,'P&amp;L.by month'!$S$39,'P&amp;L.by month'!$T$39,'P&amp;L.by month'!$U$39,'P&amp;L.by month'!$V$39,'P&amp;L.by month'!$W$39,'P&amp;L.by month'!$X$39,'P&amp;L.by month'!$Y$39,'P&amp;L.by month'!$Z$39</definedName>
    <definedName name="QB_FORMULA_34" localSheetId="11" hidden="1">'P&amp;L.current'!$K$39,'P&amp;L.current'!$L$39,'P&amp;L.current'!$M$39,'P&amp;L.current'!$N$39,'P&amp;L.current'!$O$39,'P&amp;L.current'!$P$39,'P&amp;L.current'!$Q$39,'P&amp;L.current'!$R$39,'P&amp;L.current'!$S$39,'P&amp;L.current'!$T$39,'P&amp;L.current'!$U$39,'P&amp;L.current'!$V$39,'P&amp;L.current'!$W$39,'P&amp;L.current'!$X$39,'P&amp;L.current'!$Y$39,'P&amp;L.current'!$Z$39</definedName>
    <definedName name="QB_FORMULA_34" localSheetId="12" hidden="1">'P&amp;L.prior'!$K$39,'P&amp;L.prior'!$L$39,'P&amp;L.prior'!$M$39,'P&amp;L.prior'!$N$39,'P&amp;L.prior'!$O$39,'P&amp;L.prior'!$P$39,'P&amp;L.prior'!$Q$39,'P&amp;L.prior'!$R$39,'P&amp;L.prior'!$S$39,'P&amp;L.prior'!$T$39,'P&amp;L.prior'!$U$39,'P&amp;L.prior'!$V$39,'P&amp;L.prior'!$W$39,'P&amp;L.prior'!$X$39,'P&amp;L.prior'!$Y$39,'P&amp;L.prior'!$Z$39</definedName>
    <definedName name="QB_FORMULA_35" localSheetId="10" hidden="1">'BS by month'!$AA$39,'BS by month'!$AB$39,'BS by month'!$AC$39,'BS by month'!$AD$39,'BS by month'!$AE$39,'BS by month'!$AF$39,'BS by month'!$AG$39,'BS by month'!$AH$39,'BS by month'!$AI$39,'BS by month'!$AJ$39,'BS by month'!$AK$39,'BS by month'!$AL$39,'BS by month'!#REF!,'BS by month'!#REF!,'BS by month'!#REF!,'BS by month'!#REF!</definedName>
    <definedName name="QB_FORMULA_35" localSheetId="13" hidden="1">'P&amp;L.by month'!$AA$39,'P&amp;L.by month'!$AB$39,'P&amp;L.by month'!$AC$39,'P&amp;L.by month'!$AD$39,'P&amp;L.by month'!$AE$39,'P&amp;L.by month'!$AF$39,'P&amp;L.by month'!$AG$39,'P&amp;L.by month'!$AH$39,'P&amp;L.by month'!$AI$39,'P&amp;L.by month'!$AJ$39,'P&amp;L.by month'!$AK$39,'P&amp;L.by month'!$AL$39,'P&amp;L.by month'!#REF!,'P&amp;L.by month'!#REF!,'P&amp;L.by month'!#REF!,'P&amp;L.by month'!#REF!</definedName>
    <definedName name="QB_FORMULA_35" localSheetId="11" hidden="1">'P&amp;L.current'!$AA$39,'P&amp;L.current'!$AB$39,'P&amp;L.current'!$AC$39,'P&amp;L.current'!$AD$39,'P&amp;L.current'!$AE$39,'P&amp;L.current'!$AF$39,'P&amp;L.current'!$AG$39,'P&amp;L.current'!$AH$39,'P&amp;L.current'!$AI$39,'P&amp;L.current'!$AJ$39,'P&amp;L.current'!$AK$39,'P&amp;L.current'!$AL$39,'P&amp;L.current'!$AM$39,'P&amp;L.current'!$AN$39,'P&amp;L.current'!$AO$39,'P&amp;L.current'!$AP$39</definedName>
    <definedName name="QB_FORMULA_35" localSheetId="12" hidden="1">'P&amp;L.prior'!$AA$39,'P&amp;L.prior'!$AB$39,'P&amp;L.prior'!$AC$39,'P&amp;L.prior'!$AD$39,'P&amp;L.prior'!$AE$39,'P&amp;L.prior'!$AF$39,'P&amp;L.prior'!$AG$39,'P&amp;L.prior'!$AH$39,'P&amp;L.prior'!$AI$39,'P&amp;L.prior'!$AJ$39,'P&amp;L.prior'!$AK$39,'P&amp;L.prior'!$AL$39,'P&amp;L.prior'!#REF!,'P&amp;L.prior'!#REF!,'P&amp;L.prior'!#REF!,'P&amp;L.prior'!#REF!</definedName>
    <definedName name="QB_FORMULA_36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36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36" localSheetId="11" hidden="1">'P&amp;L.current'!$AQ$39,'P&amp;L.current'!$AR$39,'P&amp;L.current'!$AS$39,'P&amp;L.current'!$AT$39,'P&amp;L.current'!$AU$39,'P&amp;L.current'!$AV$39,'P&amp;L.current'!$AW$39,'P&amp;L.current'!$AX$39,'P&amp;L.current'!$AY$39,'P&amp;L.current'!$AZ$39,'P&amp;L.current'!$BA$39,'P&amp;L.current'!$BB$39,'P&amp;L.current'!$BC$39,'P&amp;L.current'!$BD$39,'P&amp;L.current'!$BE$39,'P&amp;L.current'!$BF$39</definedName>
    <definedName name="QB_FORMULA_36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37" localSheetId="10" hidden="1">'BS by month'!#REF!,'BS by month'!#REF!,'BS by month'!#REF!,'BS by month'!$W$41,'BS by month'!$Y$41,'BS by month'!$AB$41,'BS by month'!$AF$41,'BS by month'!#REF!,'BS by month'!#REF!,'BS by month'!#REF!,'BS by month'!#REF!,'BS by month'!#REF!,'BS by month'!$I$42,'BS by month'!$J$42,'BS by month'!$K$42,'BS by month'!$L$42</definedName>
    <definedName name="QB_FORMULA_37" localSheetId="13" hidden="1">'P&amp;L.by month'!#REF!,'P&amp;L.by month'!#REF!,'P&amp;L.by month'!#REF!,'P&amp;L.by month'!$W$41,'P&amp;L.by month'!$Y$41,'P&amp;L.by month'!$AB$41,'P&amp;L.by month'!$AF$41,'P&amp;L.by month'!#REF!,'P&amp;L.by month'!#REF!,'P&amp;L.by month'!#REF!,'P&amp;L.by month'!#REF!,'P&amp;L.by month'!#REF!,'P&amp;L.by month'!$I$42,'P&amp;L.by month'!$J$42,'P&amp;L.by month'!$K$42,'P&amp;L.by month'!$L$42</definedName>
    <definedName name="QB_FORMULA_37" localSheetId="11" hidden="1">'P&amp;L.current'!$BG$39,'P&amp;L.current'!$BH$39,'P&amp;L.current'!$BI$39,'P&amp;L.current'!$W$41,'P&amp;L.current'!$Y$41,'P&amp;L.current'!$AB$41,'P&amp;L.current'!$AF$41,'P&amp;L.current'!$AR$41,'P&amp;L.current'!$AX$41,'P&amp;L.current'!$AZ$41,'P&amp;L.current'!$BG$41,'P&amp;L.current'!$BI$41,'P&amp;L.current'!$I$42,'P&amp;L.current'!$J$42,'P&amp;L.current'!$K$42,'P&amp;L.current'!$L$42</definedName>
    <definedName name="QB_FORMULA_37" localSheetId="12" hidden="1">'P&amp;L.prior'!#REF!,'P&amp;L.prior'!#REF!,'P&amp;L.prior'!#REF!,'P&amp;L.prior'!$W$41,'P&amp;L.prior'!$Y$41,'P&amp;L.prior'!$AB$41,'P&amp;L.prior'!$AF$41,'P&amp;L.prior'!#REF!,'P&amp;L.prior'!#REF!,'P&amp;L.prior'!#REF!,'P&amp;L.prior'!#REF!,'P&amp;L.prior'!#REF!,'P&amp;L.prior'!$I$42,'P&amp;L.prior'!$J$42,'P&amp;L.prior'!$K$42,'P&amp;L.prior'!$L$42</definedName>
    <definedName name="QB_FORMULA_38" localSheetId="10" hidden="1">'BS by month'!$M$42,'BS by month'!$N$42,'BS by month'!$O$42,'BS by month'!$P$42,'BS by month'!$Q$42,'BS by month'!$R$42,'BS by month'!$S$42,'BS by month'!$T$42,'BS by month'!$U$42,'BS by month'!$V$42,'BS by month'!$W$42,'BS by month'!$X$42,'BS by month'!$Y$42,'BS by month'!$Z$42,'BS by month'!$AA$42,'BS by month'!$AB$42</definedName>
    <definedName name="QB_FORMULA_38" localSheetId="13" hidden="1">'P&amp;L.by month'!$M$42,'P&amp;L.by month'!$N$42,'P&amp;L.by month'!$O$42,'P&amp;L.by month'!$P$42,'P&amp;L.by month'!$Q$42,'P&amp;L.by month'!$R$42,'P&amp;L.by month'!$S$42,'P&amp;L.by month'!$T$42,'P&amp;L.by month'!$U$42,'P&amp;L.by month'!$V$42,'P&amp;L.by month'!$W$42,'P&amp;L.by month'!$X$42,'P&amp;L.by month'!$Y$42,'P&amp;L.by month'!$Z$42,'P&amp;L.by month'!$AA$42,'P&amp;L.by month'!$AB$42</definedName>
    <definedName name="QB_FORMULA_38" localSheetId="11" hidden="1">'P&amp;L.current'!$M$42,'P&amp;L.current'!$N$42,'P&amp;L.current'!$O$42,'P&amp;L.current'!$P$42,'P&amp;L.current'!$Q$42,'P&amp;L.current'!$R$42,'P&amp;L.current'!$S$42,'P&amp;L.current'!$T$42,'P&amp;L.current'!$U$42,'P&amp;L.current'!$V$42,'P&amp;L.current'!$W$42,'P&amp;L.current'!$X$42,'P&amp;L.current'!$Y$42,'P&amp;L.current'!$Z$42,'P&amp;L.current'!$AA$42,'P&amp;L.current'!$AB$42</definedName>
    <definedName name="QB_FORMULA_38" localSheetId="12" hidden="1">'P&amp;L.prior'!$M$42,'P&amp;L.prior'!$N$42,'P&amp;L.prior'!$O$42,'P&amp;L.prior'!$P$42,'P&amp;L.prior'!$Q$42,'P&amp;L.prior'!$R$42,'P&amp;L.prior'!$S$42,'P&amp;L.prior'!$T$42,'P&amp;L.prior'!$U$42,'P&amp;L.prior'!$V$42,'P&amp;L.prior'!$W$42,'P&amp;L.prior'!$X$42,'P&amp;L.prior'!$Y$42,'P&amp;L.prior'!$Z$42,'P&amp;L.prior'!$AA$42,'P&amp;L.prior'!$AB$42</definedName>
    <definedName name="QB_FORMULA_39" localSheetId="10" hidden="1">'BS by month'!$AC$42,'BS by month'!$AD$42,'BS by month'!$AE$42,'BS by month'!$AF$42,'BS by month'!$AG$42,'BS by month'!$AH$42,'BS by month'!$AI$42,'BS by month'!$AJ$42,'BS by month'!$AK$42,'BS by month'!$AL$42,'BS by month'!#REF!,'BS by month'!#REF!,'BS by month'!#REF!,'BS by month'!#REF!,'BS by month'!#REF!,'BS by month'!#REF!</definedName>
    <definedName name="QB_FORMULA_39" localSheetId="13" hidden="1">'P&amp;L.by month'!$AC$42,'P&amp;L.by month'!$AD$42,'P&amp;L.by month'!$AE$42,'P&amp;L.by month'!$AF$42,'P&amp;L.by month'!$AG$42,'P&amp;L.by month'!$AH$42,'P&amp;L.by month'!$AI$42,'P&amp;L.by month'!$AJ$42,'P&amp;L.by month'!$AK$42,'P&amp;L.by month'!$AL$42,'P&amp;L.by month'!#REF!,'P&amp;L.by month'!#REF!,'P&amp;L.by month'!#REF!,'P&amp;L.by month'!#REF!,'P&amp;L.by month'!#REF!,'P&amp;L.by month'!#REF!</definedName>
    <definedName name="QB_FORMULA_39" localSheetId="11" hidden="1">'P&amp;L.current'!$AC$42,'P&amp;L.current'!$AD$42,'P&amp;L.current'!$AE$42,'P&amp;L.current'!$AF$42,'P&amp;L.current'!$AG$42,'P&amp;L.current'!$AH$42,'P&amp;L.current'!$AI$42,'P&amp;L.current'!$AJ$42,'P&amp;L.current'!$AK$42,'P&amp;L.current'!$AL$42,'P&amp;L.current'!$AM$42,'P&amp;L.current'!$AN$42,'P&amp;L.current'!$AO$42,'P&amp;L.current'!$AP$42,'P&amp;L.current'!$AQ$42,'P&amp;L.current'!$AR$42</definedName>
    <definedName name="QB_FORMULA_39" localSheetId="12" hidden="1">'P&amp;L.prior'!$AC$42,'P&amp;L.prior'!$AD$42,'P&amp;L.prior'!$AE$42,'P&amp;L.prior'!$AF$42,'P&amp;L.prior'!$AG$42,'P&amp;L.prior'!$AH$42,'P&amp;L.prior'!$AI$42,'P&amp;L.prior'!$AJ$42,'P&amp;L.prior'!$AK$42,'P&amp;L.prior'!$AL$42,'P&amp;L.prior'!#REF!,'P&amp;L.prior'!#REF!,'P&amp;L.prior'!#REF!,'P&amp;L.prior'!#REF!,'P&amp;L.prior'!#REF!,'P&amp;L.prior'!#REF!</definedName>
    <definedName name="QB_FORMULA_4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4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4" localSheetId="11" hidden="1">'P&amp;L.current'!$AT$10,'P&amp;L.current'!$AU$10,'P&amp;L.current'!$AV$10,'P&amp;L.current'!$AW$10,'P&amp;L.current'!$AX$10,'P&amp;L.current'!$AY$10,'P&amp;L.current'!$AZ$10,'P&amp;L.current'!$BA$10,'P&amp;L.current'!$BB$10,'P&amp;L.current'!$BC$10,'P&amp;L.current'!$BD$10,'P&amp;L.current'!$BE$10,'P&amp;L.current'!$BF$10,'P&amp;L.current'!$BG$10,'P&amp;L.current'!$BH$10,'P&amp;L.current'!$BI$10</definedName>
    <definedName name="QB_FORMULA_4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40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40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40" localSheetId="11" hidden="1">'P&amp;L.current'!$AS$42,'P&amp;L.current'!$AT$42,'P&amp;L.current'!$AU$42,'P&amp;L.current'!$AV$42,'P&amp;L.current'!$AW$42,'P&amp;L.current'!$AX$42,'P&amp;L.current'!$AY$42,'P&amp;L.current'!$AZ$42,'P&amp;L.current'!$BA$42,'P&amp;L.current'!$BB$42,'P&amp;L.current'!$BC$42,'P&amp;L.current'!$BD$42,'P&amp;L.current'!$BE$42,'P&amp;L.current'!$BF$42,'P&amp;L.current'!$BG$42,'P&amp;L.current'!$BH$42</definedName>
    <definedName name="QB_FORMULA_40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41" localSheetId="10" hidden="1">'BS by month'!#REF!,'BS by month'!$I$43,'BS by month'!$J$43,'BS by month'!$K$43,'BS by month'!$L$43,'BS by month'!$M$43,'BS by month'!$N$43,'BS by month'!$O$43,'BS by month'!$P$43,'BS by month'!$Q$43,'BS by month'!$R$43,'BS by month'!$S$43,'BS by month'!$T$43,'BS by month'!$U$43,'BS by month'!$V$43,'BS by month'!$W$43</definedName>
    <definedName name="QB_FORMULA_41" localSheetId="13" hidden="1">'P&amp;L.by month'!#REF!,'P&amp;L.by month'!$I$43,'P&amp;L.by month'!$J$43,'P&amp;L.by month'!$K$43,'P&amp;L.by month'!$L$43,'P&amp;L.by month'!$M$43,'P&amp;L.by month'!$N$43,'P&amp;L.by month'!$O$43,'P&amp;L.by month'!$P$43,'P&amp;L.by month'!$Q$43,'P&amp;L.by month'!$R$43,'P&amp;L.by month'!$S$43,'P&amp;L.by month'!$T$43,'P&amp;L.by month'!$U$43,'P&amp;L.by month'!$V$43,'P&amp;L.by month'!$W$43</definedName>
    <definedName name="QB_FORMULA_41" localSheetId="11" hidden="1">'P&amp;L.current'!$BI$42,'P&amp;L.current'!$I$43,'P&amp;L.current'!$J$43,'P&amp;L.current'!$K$43,'P&amp;L.current'!$L$43,'P&amp;L.current'!$M$43,'P&amp;L.current'!$N$43,'P&amp;L.current'!$O$43,'P&amp;L.current'!$P$43,'P&amp;L.current'!$Q$43,'P&amp;L.current'!$R$43,'P&amp;L.current'!$S$43,'P&amp;L.current'!$T$43,'P&amp;L.current'!$U$43,'P&amp;L.current'!$V$43,'P&amp;L.current'!$W$43</definedName>
    <definedName name="QB_FORMULA_41" localSheetId="12" hidden="1">'P&amp;L.prior'!#REF!,'P&amp;L.prior'!$I$43,'P&amp;L.prior'!$J$43,'P&amp;L.prior'!$K$43,'P&amp;L.prior'!$L$43,'P&amp;L.prior'!$M$43,'P&amp;L.prior'!$N$43,'P&amp;L.prior'!$O$43,'P&amp;L.prior'!$P$43,'P&amp;L.prior'!$Q$43,'P&amp;L.prior'!$R$43,'P&amp;L.prior'!$S$43,'P&amp;L.prior'!$T$43,'P&amp;L.prior'!$U$43,'P&amp;L.prior'!$V$43,'P&amp;L.prior'!$W$43</definedName>
    <definedName name="QB_FORMULA_42" localSheetId="10" hidden="1">'BS by month'!$X$43,'BS by month'!$Y$43,'BS by month'!$Z$43,'BS by month'!$AA$43,'BS by month'!$AB$43,'BS by month'!$AC$43,'BS by month'!$AD$43,'BS by month'!$AE$43,'BS by month'!$AF$43,'BS by month'!$AG$43,'BS by month'!$AH$43,'BS by month'!$AI$43,'BS by month'!$AJ$43,'BS by month'!$AK$43,'BS by month'!$AL$43,'BS by month'!#REF!</definedName>
    <definedName name="QB_FORMULA_42" localSheetId="13" hidden="1">'P&amp;L.by month'!$X$43,'P&amp;L.by month'!$Y$43,'P&amp;L.by month'!$Z$43,'P&amp;L.by month'!$AA$43,'P&amp;L.by month'!$AB$43,'P&amp;L.by month'!$AC$43,'P&amp;L.by month'!$AD$43,'P&amp;L.by month'!$AE$43,'P&amp;L.by month'!$AF$43,'P&amp;L.by month'!$AG$43,'P&amp;L.by month'!$AH$43,'P&amp;L.by month'!$AI$43,'P&amp;L.by month'!$AJ$43,'P&amp;L.by month'!$AK$43,'P&amp;L.by month'!$AL$43,'P&amp;L.by month'!#REF!</definedName>
    <definedName name="QB_FORMULA_42" localSheetId="11" hidden="1">'P&amp;L.current'!$X$43,'P&amp;L.current'!$Y$43,'P&amp;L.current'!$Z$43,'P&amp;L.current'!$AA$43,'P&amp;L.current'!$AB$43,'P&amp;L.current'!$AC$43,'P&amp;L.current'!$AD$43,'P&amp;L.current'!$AE$43,'P&amp;L.current'!$AF$43,'P&amp;L.current'!$AG$43,'P&amp;L.current'!$AH$43,'P&amp;L.current'!$AI$43,'P&amp;L.current'!$AJ$43,'P&amp;L.current'!$AK$43,'P&amp;L.current'!$AL$43,'P&amp;L.current'!$AM$43</definedName>
    <definedName name="QB_FORMULA_42" localSheetId="12" hidden="1">'P&amp;L.prior'!$X$43,'P&amp;L.prior'!$Y$43,'P&amp;L.prior'!$Z$43,'P&amp;L.prior'!$AA$43,'P&amp;L.prior'!$AB$43,'P&amp;L.prior'!$AC$43,'P&amp;L.prior'!$AD$43,'P&amp;L.prior'!$AE$43,'P&amp;L.prior'!$AF$43,'P&amp;L.prior'!$AG$43,'P&amp;L.prior'!$AH$43,'P&amp;L.prior'!$AI$43,'P&amp;L.prior'!$AJ$43,'P&amp;L.prior'!$AK$43,'P&amp;L.prior'!$AL$43,'P&amp;L.prior'!#REF!</definedName>
    <definedName name="QB_FORMULA_43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43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43" localSheetId="11" hidden="1">'P&amp;L.current'!$AN$43,'P&amp;L.current'!$AO$43,'P&amp;L.current'!$AP$43,'P&amp;L.current'!$AQ$43,'P&amp;L.current'!$AR$43,'P&amp;L.current'!$AS$43,'P&amp;L.current'!$AT$43,'P&amp;L.current'!$AU$43,'P&amp;L.current'!$AV$43,'P&amp;L.current'!$AW$43,'P&amp;L.current'!$AX$43,'P&amp;L.current'!$AY$43,'P&amp;L.current'!$AZ$43,'P&amp;L.current'!$BA$43,'P&amp;L.current'!$BB$43,'P&amp;L.current'!$BC$43</definedName>
    <definedName name="QB_FORMULA_43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44" localSheetId="10" hidden="1">'BS by month'!#REF!,'BS by month'!#REF!,'BS by month'!#REF!,'BS by month'!#REF!,'BS by month'!#REF!,'BS by month'!#REF!,'BS by month'!$W$46,'BS by month'!$Y$46,'BS by month'!$AB$46,'BS by month'!$AF$46,'BS by month'!#REF!,'BS by month'!#REF!,'BS by month'!#REF!,'BS by month'!#REF!,'BS by month'!#REF!,'BS by month'!$W$47</definedName>
    <definedName name="QB_FORMULA_44" localSheetId="13" hidden="1">'P&amp;L.by month'!#REF!,'P&amp;L.by month'!#REF!,'P&amp;L.by month'!#REF!,'P&amp;L.by month'!#REF!,'P&amp;L.by month'!#REF!,'P&amp;L.by month'!#REF!,'P&amp;L.by month'!$W$46,'P&amp;L.by month'!$Y$46,'P&amp;L.by month'!$AB$46,'P&amp;L.by month'!$AF$46,'P&amp;L.by month'!#REF!,'P&amp;L.by month'!#REF!,'P&amp;L.by month'!#REF!,'P&amp;L.by month'!#REF!,'P&amp;L.by month'!#REF!,'P&amp;L.by month'!$W$47</definedName>
    <definedName name="QB_FORMULA_44" localSheetId="11" hidden="1">'P&amp;L.current'!$BD$43,'P&amp;L.current'!$BE$43,'P&amp;L.current'!$BF$43,'P&amp;L.current'!$BG$43,'P&amp;L.current'!$BH$43,'P&amp;L.current'!$BI$43,'P&amp;L.current'!$W$46,'P&amp;L.current'!$Y$46,'P&amp;L.current'!$AB$46,'P&amp;L.current'!$AF$46,'P&amp;L.current'!$AR$46,'P&amp;L.current'!$AX$46,'P&amp;L.current'!$AZ$46,'P&amp;L.current'!$BG$46,'P&amp;L.current'!$BI$46,'P&amp;L.current'!$W$47</definedName>
    <definedName name="QB_FORMULA_44" localSheetId="12" hidden="1">'P&amp;L.prior'!#REF!,'P&amp;L.prior'!#REF!,'P&amp;L.prior'!#REF!,'P&amp;L.prior'!#REF!,'P&amp;L.prior'!#REF!,'P&amp;L.prior'!#REF!,'P&amp;L.prior'!$W$46,'P&amp;L.prior'!$Y$46,'P&amp;L.prior'!$AB$46,'P&amp;L.prior'!$AF$46,'P&amp;L.prior'!#REF!,'P&amp;L.prior'!#REF!,'P&amp;L.prior'!#REF!,'P&amp;L.prior'!#REF!,'P&amp;L.prior'!#REF!,'P&amp;L.prior'!$W$47</definedName>
    <definedName name="QB_FORMULA_45" localSheetId="10" hidden="1">'BS by month'!$Y$47,'BS by month'!$AB$47,'BS by month'!$AF$47,'BS by month'!#REF!,'BS by month'!#REF!,'BS by month'!#REF!,'BS by month'!#REF!,'BS by month'!#REF!,'BS by month'!$W$48,'BS by month'!$Y$48,'BS by month'!$AB$48,'BS by month'!$AF$48,'BS by month'!#REF!,'BS by month'!#REF!,'BS by month'!#REF!,'BS by month'!#REF!</definedName>
    <definedName name="QB_FORMULA_45" localSheetId="13" hidden="1">'P&amp;L.by month'!$Y$47,'P&amp;L.by month'!$AB$47,'P&amp;L.by month'!$AF$47,'P&amp;L.by month'!#REF!,'P&amp;L.by month'!#REF!,'P&amp;L.by month'!#REF!,'P&amp;L.by month'!#REF!,'P&amp;L.by month'!#REF!,'P&amp;L.by month'!$W$48,'P&amp;L.by month'!$Y$48,'P&amp;L.by month'!$AB$48,'P&amp;L.by month'!$AF$48,'P&amp;L.by month'!#REF!,'P&amp;L.by month'!#REF!,'P&amp;L.by month'!#REF!,'P&amp;L.by month'!#REF!</definedName>
    <definedName name="QB_FORMULA_45" localSheetId="11" hidden="1">'P&amp;L.current'!$Y$47,'P&amp;L.current'!$AB$47,'P&amp;L.current'!$AF$47,'P&amp;L.current'!$AR$47,'P&amp;L.current'!$AX$47,'P&amp;L.current'!$AZ$47,'P&amp;L.current'!$BG$47,'P&amp;L.current'!$BI$47,'P&amp;L.current'!$W$48,'P&amp;L.current'!$Y$48,'P&amp;L.current'!$AB$48,'P&amp;L.current'!$AF$48,'P&amp;L.current'!$AR$48,'P&amp;L.current'!$AX$48,'P&amp;L.current'!$AZ$48,'P&amp;L.current'!$BG$48</definedName>
    <definedName name="QB_FORMULA_45" localSheetId="12" hidden="1">'P&amp;L.prior'!$Y$47,'P&amp;L.prior'!$AB$47,'P&amp;L.prior'!$AF$47,'P&amp;L.prior'!#REF!,'P&amp;L.prior'!#REF!,'P&amp;L.prior'!#REF!,'P&amp;L.prior'!#REF!,'P&amp;L.prior'!#REF!,'P&amp;L.prior'!$W$48,'P&amp;L.prior'!$Y$48,'P&amp;L.prior'!$AB$48,'P&amp;L.prior'!$AF$48,'P&amp;L.prior'!#REF!,'P&amp;L.prior'!#REF!,'P&amp;L.prior'!#REF!,'P&amp;L.prior'!#REF!</definedName>
    <definedName name="QB_FORMULA_46" localSheetId="10" hidden="1">'BS by month'!#REF!,'BS by month'!$I$49,'BS by month'!$J$49,'BS by month'!$K$49,'BS by month'!$L$49,'BS by month'!$M$49,'BS by month'!$N$49,'BS by month'!$O$49,'BS by month'!$P$49,'BS by month'!$Q$49,'BS by month'!$R$49,'BS by month'!$S$49,'BS by month'!$T$49,'BS by month'!$U$49,'BS by month'!$V$49,'BS by month'!$W$49</definedName>
    <definedName name="QB_FORMULA_46" localSheetId="13" hidden="1">'P&amp;L.by month'!#REF!,'P&amp;L.by month'!$I$49,'P&amp;L.by month'!$J$49,'P&amp;L.by month'!$K$49,'P&amp;L.by month'!$L$49,'P&amp;L.by month'!$M$49,'P&amp;L.by month'!$N$49,'P&amp;L.by month'!$O$49,'P&amp;L.by month'!$P$49,'P&amp;L.by month'!$Q$49,'P&amp;L.by month'!$R$49,'P&amp;L.by month'!$S$49,'P&amp;L.by month'!$T$49,'P&amp;L.by month'!$U$49,'P&amp;L.by month'!$V$49,'P&amp;L.by month'!$W$49</definedName>
    <definedName name="QB_FORMULA_46" localSheetId="11" hidden="1">'P&amp;L.current'!$BI$48,'P&amp;L.current'!$I$49,'P&amp;L.current'!$J$49,'P&amp;L.current'!$K$49,'P&amp;L.current'!$L$49,'P&amp;L.current'!$M$49,'P&amp;L.current'!$N$49,'P&amp;L.current'!$O$49,'P&amp;L.current'!$P$49,'P&amp;L.current'!$Q$49,'P&amp;L.current'!$R$49,'P&amp;L.current'!$S$49,'P&amp;L.current'!$T$49,'P&amp;L.current'!$U$49,'P&amp;L.current'!$V$49,'P&amp;L.current'!$W$49</definedName>
    <definedName name="QB_FORMULA_46" localSheetId="12" hidden="1">'P&amp;L.prior'!#REF!,'P&amp;L.prior'!$I$49,'P&amp;L.prior'!$J$49,'P&amp;L.prior'!$K$49,'P&amp;L.prior'!$L$49,'P&amp;L.prior'!$M$49,'P&amp;L.prior'!$N$49,'P&amp;L.prior'!$O$49,'P&amp;L.prior'!$P$49,'P&amp;L.prior'!$Q$49,'P&amp;L.prior'!$R$49,'P&amp;L.prior'!$S$49,'P&amp;L.prior'!$T$49,'P&amp;L.prior'!$U$49,'P&amp;L.prior'!$V$49,'P&amp;L.prior'!$W$49</definedName>
    <definedName name="QB_FORMULA_47" localSheetId="10" hidden="1">'BS by month'!$X$49,'BS by month'!$Y$49,'BS by month'!$Z$49,'BS by month'!$AA$49,'BS by month'!$AB$49,'BS by month'!$AC$49,'BS by month'!$AD$49,'BS by month'!$AE$49,'BS by month'!$AF$49,'BS by month'!$AG$49,'BS by month'!$AH$49,'BS by month'!$AI$49,'BS by month'!$AJ$49,'BS by month'!$AK$49,'BS by month'!$AL$49,'BS by month'!#REF!</definedName>
    <definedName name="QB_FORMULA_47" localSheetId="13" hidden="1">'P&amp;L.by month'!$X$49,'P&amp;L.by month'!$Y$49,'P&amp;L.by month'!$Z$49,'P&amp;L.by month'!$AA$49,'P&amp;L.by month'!$AB$49,'P&amp;L.by month'!$AC$49,'P&amp;L.by month'!$AD$49,'P&amp;L.by month'!$AE$49,'P&amp;L.by month'!$AF$49,'P&amp;L.by month'!$AG$49,'P&amp;L.by month'!$AH$49,'P&amp;L.by month'!$AI$49,'P&amp;L.by month'!$AJ$49,'P&amp;L.by month'!$AK$49,'P&amp;L.by month'!$AL$49,'P&amp;L.by month'!#REF!</definedName>
    <definedName name="QB_FORMULA_47" localSheetId="11" hidden="1">'P&amp;L.current'!$X$49,'P&amp;L.current'!$Y$49,'P&amp;L.current'!$Z$49,'P&amp;L.current'!$AA$49,'P&amp;L.current'!$AB$49,'P&amp;L.current'!$AC$49,'P&amp;L.current'!$AD$49,'P&amp;L.current'!$AE$49,'P&amp;L.current'!$AF$49,'P&amp;L.current'!$AG$49,'P&amp;L.current'!$AH$49,'P&amp;L.current'!$AI$49,'P&amp;L.current'!$AJ$49,'P&amp;L.current'!$AK$49,'P&amp;L.current'!$AL$49,'P&amp;L.current'!$AM$49</definedName>
    <definedName name="QB_FORMULA_47" localSheetId="12" hidden="1">'P&amp;L.prior'!$X$49,'P&amp;L.prior'!$Y$49,'P&amp;L.prior'!$Z$49,'P&amp;L.prior'!$AA$49,'P&amp;L.prior'!$AB$49,'P&amp;L.prior'!$AC$49,'P&amp;L.prior'!$AD$49,'P&amp;L.prior'!$AE$49,'P&amp;L.prior'!$AF$49,'P&amp;L.prior'!$AG$49,'P&amp;L.prior'!$AH$49,'P&amp;L.prior'!$AI$49,'P&amp;L.prior'!$AJ$49,'P&amp;L.prior'!$AK$49,'P&amp;L.prior'!$AL$49,'P&amp;L.prior'!#REF!</definedName>
    <definedName name="QB_FORMULA_48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48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48" localSheetId="11" hidden="1">'P&amp;L.current'!$AN$49,'P&amp;L.current'!$AO$49,'P&amp;L.current'!$AP$49,'P&amp;L.current'!$AQ$49,'P&amp;L.current'!$AR$49,'P&amp;L.current'!$AS$49,'P&amp;L.current'!$AT$49,'P&amp;L.current'!$AU$49,'P&amp;L.current'!$AV$49,'P&amp;L.current'!$AW$49,'P&amp;L.current'!$AX$49,'P&amp;L.current'!$AY$49,'P&amp;L.current'!$AZ$49,'P&amp;L.current'!$BA$49,'P&amp;L.current'!$BB$49,'P&amp;L.current'!$BC$49</definedName>
    <definedName name="QB_FORMULA_48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49" localSheetId="10" hidden="1">'BS by month'!#REF!,'BS by month'!#REF!,'BS by month'!#REF!,'BS by month'!#REF!,'BS by month'!#REF!,'BS by month'!#REF!,'BS by month'!$W$51,'BS by month'!$Y$51,'BS by month'!$AB$51,'BS by month'!$AF$51,'BS by month'!#REF!,'BS by month'!#REF!,'BS by month'!#REF!,'BS by month'!#REF!,'BS by month'!#REF!,'BS by month'!$W$52</definedName>
    <definedName name="QB_FORMULA_49" localSheetId="13" hidden="1">'P&amp;L.by month'!#REF!,'P&amp;L.by month'!#REF!,'P&amp;L.by month'!#REF!,'P&amp;L.by month'!#REF!,'P&amp;L.by month'!#REF!,'P&amp;L.by month'!#REF!,'P&amp;L.by month'!$W$51,'P&amp;L.by month'!$Y$51,'P&amp;L.by month'!$AB$51,'P&amp;L.by month'!$AF$51,'P&amp;L.by month'!#REF!,'P&amp;L.by month'!#REF!,'P&amp;L.by month'!#REF!,'P&amp;L.by month'!#REF!,'P&amp;L.by month'!#REF!,'P&amp;L.by month'!$W$52</definedName>
    <definedName name="QB_FORMULA_49" localSheetId="11" hidden="1">'P&amp;L.current'!$BD$49,'P&amp;L.current'!$BE$49,'P&amp;L.current'!$BF$49,'P&amp;L.current'!$BG$49,'P&amp;L.current'!$BH$49,'P&amp;L.current'!$BI$49,'P&amp;L.current'!$W$51,'P&amp;L.current'!$Y$51,'P&amp;L.current'!$AB$51,'P&amp;L.current'!$AF$51,'P&amp;L.current'!$AR$51,'P&amp;L.current'!$AX$51,'P&amp;L.current'!$AZ$51,'P&amp;L.current'!$BG$51,'P&amp;L.current'!$BI$51,'P&amp;L.current'!$W$52</definedName>
    <definedName name="QB_FORMULA_49" localSheetId="12" hidden="1">'P&amp;L.prior'!#REF!,'P&amp;L.prior'!#REF!,'P&amp;L.prior'!#REF!,'P&amp;L.prior'!#REF!,'P&amp;L.prior'!#REF!,'P&amp;L.prior'!#REF!,'P&amp;L.prior'!$W$51,'P&amp;L.prior'!$Y$51,'P&amp;L.prior'!$AB$51,'P&amp;L.prior'!$AF$51,'P&amp;L.prior'!#REF!,'P&amp;L.prior'!#REF!,'P&amp;L.prior'!#REF!,'P&amp;L.prior'!#REF!,'P&amp;L.prior'!#REF!,'P&amp;L.prior'!$W$52</definedName>
    <definedName name="QB_FORMULA_5" localSheetId="10" hidden="1">'BS by month'!$W$12,'BS by month'!$Y$12,'BS by month'!$AB$12,'BS by month'!$AF$12,'BS by month'!#REF!,'BS by month'!#REF!,'BS by month'!#REF!,'BS by month'!#REF!,'BS by month'!#REF!,'BS by month'!$W$13,'BS by month'!$Y$13,'BS by month'!$AB$13,'BS by month'!$AF$13,'BS by month'!#REF!,'BS by month'!#REF!,'BS by month'!#REF!</definedName>
    <definedName name="QB_FORMULA_5" localSheetId="13" hidden="1">'P&amp;L.by month'!$W$12,'P&amp;L.by month'!$Y$12,'P&amp;L.by month'!$AB$12,'P&amp;L.by month'!$AF$12,'P&amp;L.by month'!#REF!,'P&amp;L.by month'!#REF!,'P&amp;L.by month'!#REF!,'P&amp;L.by month'!#REF!,'P&amp;L.by month'!#REF!,'P&amp;L.by month'!$W$13,'P&amp;L.by month'!$Y$13,'P&amp;L.by month'!$AB$13,'P&amp;L.by month'!$AF$13,'P&amp;L.by month'!#REF!,'P&amp;L.by month'!#REF!,'P&amp;L.by month'!#REF!</definedName>
    <definedName name="QB_FORMULA_5" localSheetId="11" hidden="1">'P&amp;L.current'!$W$12,'P&amp;L.current'!$Y$12,'P&amp;L.current'!$AB$12,'P&amp;L.current'!$AF$12,'P&amp;L.current'!$AR$12,'P&amp;L.current'!$AX$12,'P&amp;L.current'!$AZ$12,'P&amp;L.current'!$BG$12,'P&amp;L.current'!$BI$12,'P&amp;L.current'!$W$13,'P&amp;L.current'!$Y$13,'P&amp;L.current'!$AB$13,'P&amp;L.current'!$AF$13,'P&amp;L.current'!$AR$13,'P&amp;L.current'!$AX$13,'P&amp;L.current'!$AZ$13</definedName>
    <definedName name="QB_FORMULA_5" localSheetId="12" hidden="1">'P&amp;L.prior'!$W$12,'P&amp;L.prior'!$Y$12,'P&amp;L.prior'!$AB$12,'P&amp;L.prior'!$AF$12,'P&amp;L.prior'!#REF!,'P&amp;L.prior'!#REF!,'P&amp;L.prior'!#REF!,'P&amp;L.prior'!#REF!,'P&amp;L.prior'!#REF!,'P&amp;L.prior'!$W$13,'P&amp;L.prior'!$Y$13,'P&amp;L.prior'!$AB$13,'P&amp;L.prior'!$AF$13,'P&amp;L.prior'!#REF!,'P&amp;L.prior'!#REF!,'P&amp;L.prior'!#REF!</definedName>
    <definedName name="QB_FORMULA_50" localSheetId="10" hidden="1">'BS by month'!$Y$52,'BS by month'!$AB$52,'BS by month'!$AF$52,'BS by month'!#REF!,'BS by month'!#REF!,'BS by month'!#REF!,'BS by month'!#REF!,'BS by month'!#REF!,'BS by month'!$W$53,'BS by month'!$Y$53,'BS by month'!$AB$53,'BS by month'!$AF$53,'BS by month'!#REF!,'BS by month'!#REF!,'BS by month'!#REF!,'BS by month'!#REF!</definedName>
    <definedName name="QB_FORMULA_50" localSheetId="13" hidden="1">'P&amp;L.by month'!$Y$52,'P&amp;L.by month'!$AB$52,'P&amp;L.by month'!$AF$52,'P&amp;L.by month'!#REF!,'P&amp;L.by month'!#REF!,'P&amp;L.by month'!#REF!,'P&amp;L.by month'!#REF!,'P&amp;L.by month'!#REF!,'P&amp;L.by month'!$W$53,'P&amp;L.by month'!$Y$53,'P&amp;L.by month'!$AB$53,'P&amp;L.by month'!$AF$53,'P&amp;L.by month'!#REF!,'P&amp;L.by month'!#REF!,'P&amp;L.by month'!#REF!,'P&amp;L.by month'!#REF!</definedName>
    <definedName name="QB_FORMULA_50" localSheetId="11" hidden="1">'P&amp;L.current'!$Y$52,'P&amp;L.current'!$AB$52,'P&amp;L.current'!$AF$52,'P&amp;L.current'!$AR$52,'P&amp;L.current'!$AX$52,'P&amp;L.current'!$AZ$52,'P&amp;L.current'!$BG$52,'P&amp;L.current'!$BI$52,'P&amp;L.current'!$W$53,'P&amp;L.current'!$Y$53,'P&amp;L.current'!$AB$53,'P&amp;L.current'!$AF$53,'P&amp;L.current'!$AR$53,'P&amp;L.current'!$AX$53,'P&amp;L.current'!$AZ$53,'P&amp;L.current'!$BG$53</definedName>
    <definedName name="QB_FORMULA_50" localSheetId="12" hidden="1">'P&amp;L.prior'!$Y$52,'P&amp;L.prior'!$AB$52,'P&amp;L.prior'!$AF$52,'P&amp;L.prior'!#REF!,'P&amp;L.prior'!#REF!,'P&amp;L.prior'!#REF!,'P&amp;L.prior'!#REF!,'P&amp;L.prior'!#REF!,'P&amp;L.prior'!$W$53,'P&amp;L.prior'!$Y$53,'P&amp;L.prior'!$AB$53,'P&amp;L.prior'!$AF$53,'P&amp;L.prior'!#REF!,'P&amp;L.prior'!#REF!,'P&amp;L.prior'!#REF!,'P&amp;L.prior'!#REF!</definedName>
    <definedName name="QB_FORMULA_51" localSheetId="10" hidden="1">'BS by month'!#REF!,'BS by month'!$W$54,'BS by month'!$Y$54,'BS by month'!$AB$54,'BS by month'!$AF$54,'BS by month'!#REF!,'BS by month'!#REF!,'BS by month'!#REF!,'BS by month'!#REF!,'BS by month'!#REF!,'BS by month'!$W$55,'BS by month'!$Y$55,'BS by month'!$AB$55,'BS by month'!$AF$55,'BS by month'!#REF!,'BS by month'!#REF!</definedName>
    <definedName name="QB_FORMULA_51" localSheetId="13" hidden="1">'P&amp;L.by month'!#REF!,'P&amp;L.by month'!$W$54,'P&amp;L.by month'!$Y$54,'P&amp;L.by month'!$AB$54,'P&amp;L.by month'!$AF$54,'P&amp;L.by month'!#REF!,'P&amp;L.by month'!#REF!,'P&amp;L.by month'!#REF!,'P&amp;L.by month'!#REF!,'P&amp;L.by month'!#REF!,'P&amp;L.by month'!$W$55,'P&amp;L.by month'!$Y$55,'P&amp;L.by month'!$AB$55,'P&amp;L.by month'!$AF$55,'P&amp;L.by month'!#REF!,'P&amp;L.by month'!#REF!</definedName>
    <definedName name="QB_FORMULA_51" localSheetId="11" hidden="1">'P&amp;L.current'!$BI$53,'P&amp;L.current'!$W$54,'P&amp;L.current'!$Y$54,'P&amp;L.current'!$AB$54,'P&amp;L.current'!$AF$54,'P&amp;L.current'!$AR$54,'P&amp;L.current'!$AX$54,'P&amp;L.current'!$AZ$54,'P&amp;L.current'!$BG$54,'P&amp;L.current'!$BI$54,'P&amp;L.current'!$W$55,'P&amp;L.current'!$Y$55,'P&amp;L.current'!$AB$55,'P&amp;L.current'!$AF$55,'P&amp;L.current'!$AR$55,'P&amp;L.current'!$AX$55</definedName>
    <definedName name="QB_FORMULA_51" localSheetId="12" hidden="1">'P&amp;L.prior'!#REF!,'P&amp;L.prior'!$W$54,'P&amp;L.prior'!$Y$54,'P&amp;L.prior'!$AB$54,'P&amp;L.prior'!$AF$54,'P&amp;L.prior'!#REF!,'P&amp;L.prior'!#REF!,'P&amp;L.prior'!#REF!,'P&amp;L.prior'!#REF!,'P&amp;L.prior'!#REF!,'P&amp;L.prior'!$W$55,'P&amp;L.prior'!$Y$55,'P&amp;L.prior'!$AB$55,'P&amp;L.prior'!$AF$55,'P&amp;L.prior'!#REF!,'P&amp;L.prior'!#REF!</definedName>
    <definedName name="QB_FORMULA_52" localSheetId="10" hidden="1">'BS by month'!#REF!,'BS by month'!#REF!,'BS by month'!#REF!,'BS by month'!$W$56,'BS by month'!$Y$56,'BS by month'!$AB$56,'BS by month'!$AF$56,'BS by month'!#REF!,'BS by month'!#REF!,'BS by month'!#REF!,'BS by month'!#REF!,'BS by month'!#REF!,'BS by month'!$W$57,'BS by month'!$Y$57,'BS by month'!$AB$57,'BS by month'!$AF$57</definedName>
    <definedName name="QB_FORMULA_52" localSheetId="13" hidden="1">'P&amp;L.by month'!#REF!,'P&amp;L.by month'!#REF!,'P&amp;L.by month'!#REF!,'P&amp;L.by month'!$W$56,'P&amp;L.by month'!$Y$56,'P&amp;L.by month'!$AB$56,'P&amp;L.by month'!$AF$56,'P&amp;L.by month'!#REF!,'P&amp;L.by month'!#REF!,'P&amp;L.by month'!#REF!,'P&amp;L.by month'!#REF!,'P&amp;L.by month'!#REF!,'P&amp;L.by month'!$W$57,'P&amp;L.by month'!$Y$57,'P&amp;L.by month'!$AB$57,'P&amp;L.by month'!$AF$57</definedName>
    <definedName name="QB_FORMULA_52" localSheetId="11" hidden="1">'P&amp;L.current'!$AZ$55,'P&amp;L.current'!$BG$55,'P&amp;L.current'!$BI$55,'P&amp;L.current'!$W$56,'P&amp;L.current'!$Y$56,'P&amp;L.current'!$AB$56,'P&amp;L.current'!$AF$56,'P&amp;L.current'!$AR$56,'P&amp;L.current'!$AX$56,'P&amp;L.current'!$AZ$56,'P&amp;L.current'!$BG$56,'P&amp;L.current'!$BI$56,'P&amp;L.current'!$W$57,'P&amp;L.current'!$Y$57,'P&amp;L.current'!$AB$57,'P&amp;L.current'!$AF$57</definedName>
    <definedName name="QB_FORMULA_52" localSheetId="12" hidden="1">'P&amp;L.prior'!#REF!,'P&amp;L.prior'!#REF!,'P&amp;L.prior'!#REF!,'P&amp;L.prior'!$W$56,'P&amp;L.prior'!$Y$56,'P&amp;L.prior'!$AB$56,'P&amp;L.prior'!$AF$56,'P&amp;L.prior'!#REF!,'P&amp;L.prior'!#REF!,'P&amp;L.prior'!#REF!,'P&amp;L.prior'!#REF!,'P&amp;L.prior'!#REF!,'P&amp;L.prior'!$W$57,'P&amp;L.prior'!$Y$57,'P&amp;L.prior'!$AB$57,'P&amp;L.prior'!$AF$57</definedName>
    <definedName name="QB_FORMULA_53" localSheetId="10" hidden="1">'BS by month'!#REF!,'BS by month'!#REF!,'BS by month'!#REF!,'BS by month'!#REF!,'BS by month'!#REF!,'BS by month'!$W$58,'BS by month'!$Y$58,'BS by month'!$AB$58,'BS by month'!$AF$58,'BS by month'!#REF!,'BS by month'!#REF!,'BS by month'!#REF!,'BS by month'!#REF!,'BS by month'!#REF!,'BS by month'!$W$59,'BS by month'!$Y$59</definedName>
    <definedName name="QB_FORMULA_53" localSheetId="13" hidden="1">'P&amp;L.by month'!#REF!,'P&amp;L.by month'!#REF!,'P&amp;L.by month'!#REF!,'P&amp;L.by month'!#REF!,'P&amp;L.by month'!#REF!,'P&amp;L.by month'!$W$58,'P&amp;L.by month'!$Y$58,'P&amp;L.by month'!$AB$58,'P&amp;L.by month'!$AF$58,'P&amp;L.by month'!#REF!,'P&amp;L.by month'!#REF!,'P&amp;L.by month'!#REF!,'P&amp;L.by month'!#REF!,'P&amp;L.by month'!#REF!,'P&amp;L.by month'!$W$59,'P&amp;L.by month'!$Y$59</definedName>
    <definedName name="QB_FORMULA_53" localSheetId="11" hidden="1">'P&amp;L.current'!$AR$57,'P&amp;L.current'!$AX$57,'P&amp;L.current'!$AZ$57,'P&amp;L.current'!$BG$57,'P&amp;L.current'!$BI$57,'P&amp;L.current'!$W$58,'P&amp;L.current'!$Y$58,'P&amp;L.current'!$AB$58,'P&amp;L.current'!$AF$58,'P&amp;L.current'!$AR$58,'P&amp;L.current'!$AX$58,'P&amp;L.current'!$AZ$58,'P&amp;L.current'!$BG$58,'P&amp;L.current'!$BI$58,'P&amp;L.current'!$W$59,'P&amp;L.current'!$Y$59</definedName>
    <definedName name="QB_FORMULA_53" localSheetId="12" hidden="1">'P&amp;L.prior'!#REF!,'P&amp;L.prior'!#REF!,'P&amp;L.prior'!#REF!,'P&amp;L.prior'!#REF!,'P&amp;L.prior'!#REF!,'P&amp;L.prior'!$W$58,'P&amp;L.prior'!$Y$58,'P&amp;L.prior'!$AB$58,'P&amp;L.prior'!$AF$58,'P&amp;L.prior'!#REF!,'P&amp;L.prior'!#REF!,'P&amp;L.prior'!#REF!,'P&amp;L.prior'!#REF!,'P&amp;L.prior'!#REF!,'P&amp;L.prior'!$W$59,'P&amp;L.prior'!$Y$59</definedName>
    <definedName name="QB_FORMULA_54" localSheetId="10" hidden="1">'BS by month'!$AB$59,'BS by month'!$AF$59,'BS by month'!#REF!,'BS by month'!#REF!,'BS by month'!#REF!,'BS by month'!#REF!,'BS by month'!#REF!,'BS by month'!$W$60,'BS by month'!$Y$60,'BS by month'!$AB$60,'BS by month'!$AF$60,'BS by month'!#REF!,'BS by month'!#REF!,'BS by month'!#REF!,'BS by month'!#REF!,'BS by month'!#REF!</definedName>
    <definedName name="QB_FORMULA_54" localSheetId="13" hidden="1">'P&amp;L.by month'!$AB$59,'P&amp;L.by month'!$AF$59,'P&amp;L.by month'!#REF!,'P&amp;L.by month'!#REF!,'P&amp;L.by month'!#REF!,'P&amp;L.by month'!#REF!,'P&amp;L.by month'!#REF!,'P&amp;L.by month'!$W$60,'P&amp;L.by month'!$Y$60,'P&amp;L.by month'!$AB$60,'P&amp;L.by month'!$AF$60,'P&amp;L.by month'!#REF!,'P&amp;L.by month'!#REF!,'P&amp;L.by month'!#REF!,'P&amp;L.by month'!#REF!,'P&amp;L.by month'!#REF!</definedName>
    <definedName name="QB_FORMULA_54" localSheetId="11" hidden="1">'P&amp;L.current'!$AB$59,'P&amp;L.current'!$AF$59,'P&amp;L.current'!$AR$59,'P&amp;L.current'!$AX$59,'P&amp;L.current'!$AZ$59,'P&amp;L.current'!$BG$59,'P&amp;L.current'!$BI$59,'P&amp;L.current'!$W$60,'P&amp;L.current'!$Y$60,'P&amp;L.current'!$AB$60,'P&amp;L.current'!$AF$60,'P&amp;L.current'!$AR$60,'P&amp;L.current'!$AX$60,'P&amp;L.current'!$AZ$60,'P&amp;L.current'!$BG$60,'P&amp;L.current'!$BI$60</definedName>
    <definedName name="QB_FORMULA_54" localSheetId="12" hidden="1">'P&amp;L.prior'!$AB$59,'P&amp;L.prior'!$AF$59,'P&amp;L.prior'!#REF!,'P&amp;L.prior'!#REF!,'P&amp;L.prior'!#REF!,'P&amp;L.prior'!#REF!,'P&amp;L.prior'!#REF!,'P&amp;L.prior'!$W$60,'P&amp;L.prior'!$Y$60,'P&amp;L.prior'!$AB$60,'P&amp;L.prior'!$AF$60,'P&amp;L.prior'!#REF!,'P&amp;L.prior'!#REF!,'P&amp;L.prior'!#REF!,'P&amp;L.prior'!#REF!,'P&amp;L.prior'!#REF!</definedName>
    <definedName name="QB_FORMULA_55" localSheetId="10" hidden="1">'BS by month'!$I$61,'BS by month'!$J$61,'BS by month'!$K$61,'BS by month'!$L$61,'BS by month'!$M$61,'BS by month'!$N$61,'BS by month'!$O$61,'BS by month'!$P$61,'BS by month'!$Q$61,'BS by month'!$R$61,'BS by month'!$S$61,'BS by month'!$T$61,'BS by month'!$U$61,'BS by month'!$V$61,'BS by month'!$W$61,'BS by month'!$X$61</definedName>
    <definedName name="QB_FORMULA_55" localSheetId="13" hidden="1">'P&amp;L.by month'!$I$61,'P&amp;L.by month'!$J$61,'P&amp;L.by month'!$K$61,'P&amp;L.by month'!$L$61,'P&amp;L.by month'!$M$61,'P&amp;L.by month'!$N$61,'P&amp;L.by month'!$O$61,'P&amp;L.by month'!$P$61,'P&amp;L.by month'!$Q$61,'P&amp;L.by month'!$R$61,'P&amp;L.by month'!$S$61,'P&amp;L.by month'!$T$61,'P&amp;L.by month'!$U$61,'P&amp;L.by month'!$V$61,'P&amp;L.by month'!$W$61,'P&amp;L.by month'!$X$61</definedName>
    <definedName name="QB_FORMULA_55" localSheetId="11" hidden="1">'P&amp;L.current'!$I$61,'P&amp;L.current'!$J$61,'P&amp;L.current'!$K$61,'P&amp;L.current'!$L$61,'P&amp;L.current'!$M$61,'P&amp;L.current'!$N$61,'P&amp;L.current'!$O$61,'P&amp;L.current'!$P$61,'P&amp;L.current'!$Q$61,'P&amp;L.current'!$R$61,'P&amp;L.current'!$S$61,'P&amp;L.current'!$T$61,'P&amp;L.current'!$U$61,'P&amp;L.current'!$V$61,'P&amp;L.current'!$W$61,'P&amp;L.current'!$X$61</definedName>
    <definedName name="QB_FORMULA_55" localSheetId="12" hidden="1">'P&amp;L.prior'!$I$61,'P&amp;L.prior'!$J$61,'P&amp;L.prior'!$K$61,'P&amp;L.prior'!$L$61,'P&amp;L.prior'!$M$61,'P&amp;L.prior'!$N$61,'P&amp;L.prior'!$O$61,'P&amp;L.prior'!$P$61,'P&amp;L.prior'!$Q$61,'P&amp;L.prior'!$R$61,'P&amp;L.prior'!$S$61,'P&amp;L.prior'!$T$61,'P&amp;L.prior'!$U$61,'P&amp;L.prior'!$V$61,'P&amp;L.prior'!$W$61,'P&amp;L.prior'!$X$61</definedName>
    <definedName name="QB_FORMULA_56" localSheetId="10" hidden="1">'BS by month'!$Y$61,'BS by month'!$Z$61,'BS by month'!$AA$61,'BS by month'!$AB$61,'BS by month'!$AC$61,'BS by month'!$AD$61,'BS by month'!$AE$61,'BS by month'!$AF$61,'BS by month'!$AG$61,'BS by month'!$AH$61,'BS by month'!$AI$61,'BS by month'!$AJ$61,'BS by month'!$AK$61,'BS by month'!$AL$61,'BS by month'!#REF!,'BS by month'!#REF!</definedName>
    <definedName name="QB_FORMULA_56" localSheetId="13" hidden="1">'P&amp;L.by month'!$Y$61,'P&amp;L.by month'!$Z$61,'P&amp;L.by month'!$AA$61,'P&amp;L.by month'!$AB$61,'P&amp;L.by month'!$AC$61,'P&amp;L.by month'!$AD$61,'P&amp;L.by month'!$AE$61,'P&amp;L.by month'!$AF$61,'P&amp;L.by month'!$AG$61,'P&amp;L.by month'!$AH$61,'P&amp;L.by month'!$AI$61,'P&amp;L.by month'!$AJ$61,'P&amp;L.by month'!$AK$61,'P&amp;L.by month'!$AL$61,'P&amp;L.by month'!#REF!,'P&amp;L.by month'!#REF!</definedName>
    <definedName name="QB_FORMULA_56" localSheetId="11" hidden="1">'P&amp;L.current'!$Y$61,'P&amp;L.current'!$Z$61,'P&amp;L.current'!$AA$61,'P&amp;L.current'!$AB$61,'P&amp;L.current'!$AC$61,'P&amp;L.current'!$AD$61,'P&amp;L.current'!$AE$61,'P&amp;L.current'!$AF$61,'P&amp;L.current'!$AG$61,'P&amp;L.current'!$AH$61,'P&amp;L.current'!$AI$61,'P&amp;L.current'!$AJ$61,'P&amp;L.current'!$AK$61,'P&amp;L.current'!$AL$61,'P&amp;L.current'!$AM$61,'P&amp;L.current'!$AN$61</definedName>
    <definedName name="QB_FORMULA_56" localSheetId="12" hidden="1">'P&amp;L.prior'!$Y$61,'P&amp;L.prior'!$Z$61,'P&amp;L.prior'!$AA$61,'P&amp;L.prior'!$AB$61,'P&amp;L.prior'!$AC$61,'P&amp;L.prior'!$AD$61,'P&amp;L.prior'!$AE$61,'P&amp;L.prior'!$AF$61,'P&amp;L.prior'!$AG$61,'P&amp;L.prior'!$AH$61,'P&amp;L.prior'!$AI$61,'P&amp;L.prior'!$AJ$61,'P&amp;L.prior'!$AK$61,'P&amp;L.prior'!$AL$61,'P&amp;L.prior'!#REF!,'P&amp;L.prior'!#REF!</definedName>
    <definedName name="QB_FORMULA_57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57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57" localSheetId="11" hidden="1">'P&amp;L.current'!$AO$61,'P&amp;L.current'!$AP$61,'P&amp;L.current'!$AQ$61,'P&amp;L.current'!$AR$61,'P&amp;L.current'!$AS$61,'P&amp;L.current'!$AT$61,'P&amp;L.current'!$AU$61,'P&amp;L.current'!$AV$61,'P&amp;L.current'!$AW$61,'P&amp;L.current'!$AX$61,'P&amp;L.current'!$AY$61,'P&amp;L.current'!$AZ$61,'P&amp;L.current'!$BA$61,'P&amp;L.current'!$BB$61,'P&amp;L.current'!$BC$61,'P&amp;L.current'!$BD$61</definedName>
    <definedName name="QB_FORMULA_57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58" localSheetId="10" hidden="1">'BS by month'!#REF!,'BS by month'!#REF!,'BS by month'!#REF!,'BS by month'!#REF!,'BS by month'!#REF!,'BS by month'!$W$63,'BS by month'!$Y$63,'BS by month'!$AB$63,'BS by month'!$AF$63,'BS by month'!#REF!,'BS by month'!#REF!,'BS by month'!#REF!,'BS by month'!#REF!,'BS by month'!#REF!,'BS by month'!$W$64,'BS by month'!$Y$64</definedName>
    <definedName name="QB_FORMULA_58" localSheetId="13" hidden="1">'P&amp;L.by month'!#REF!,'P&amp;L.by month'!#REF!,'P&amp;L.by month'!#REF!,'P&amp;L.by month'!#REF!,'P&amp;L.by month'!#REF!,'P&amp;L.by month'!$W$63,'P&amp;L.by month'!$Y$63,'P&amp;L.by month'!$AB$63,'P&amp;L.by month'!$AF$63,'P&amp;L.by month'!#REF!,'P&amp;L.by month'!#REF!,'P&amp;L.by month'!#REF!,'P&amp;L.by month'!#REF!,'P&amp;L.by month'!#REF!,'P&amp;L.by month'!$W$64,'P&amp;L.by month'!$Y$64</definedName>
    <definedName name="QB_FORMULA_58" localSheetId="11" hidden="1">'P&amp;L.current'!$BE$61,'P&amp;L.current'!$BF$61,'P&amp;L.current'!$BG$61,'P&amp;L.current'!$BH$61,'P&amp;L.current'!$BI$61,'P&amp;L.current'!$W$63,'P&amp;L.current'!$Y$63,'P&amp;L.current'!$AB$63,'P&amp;L.current'!$AF$63,'P&amp;L.current'!$AR$63,'P&amp;L.current'!$AX$63,'P&amp;L.current'!$AZ$63,'P&amp;L.current'!$BG$63,'P&amp;L.current'!$BI$63,'P&amp;L.current'!$W$64,'P&amp;L.current'!$Y$64</definedName>
    <definedName name="QB_FORMULA_58" localSheetId="12" hidden="1">'P&amp;L.prior'!#REF!,'P&amp;L.prior'!#REF!,'P&amp;L.prior'!#REF!,'P&amp;L.prior'!#REF!,'P&amp;L.prior'!#REF!,'P&amp;L.prior'!$W$63,'P&amp;L.prior'!$Y$63,'P&amp;L.prior'!$AB$63,'P&amp;L.prior'!$AF$63,'P&amp;L.prior'!#REF!,'P&amp;L.prior'!#REF!,'P&amp;L.prior'!#REF!,'P&amp;L.prior'!#REF!,'P&amp;L.prior'!#REF!,'P&amp;L.prior'!$W$64,'P&amp;L.prior'!$Y$64</definedName>
    <definedName name="QB_FORMULA_59" localSheetId="10" hidden="1">'BS by month'!$AB$64,'BS by month'!$AF$64,'BS by month'!#REF!,'BS by month'!#REF!,'BS by month'!#REF!,'BS by month'!#REF!,'BS by month'!#REF!,'BS by month'!$W$65,'BS by month'!$Y$65,'BS by month'!$AB$65,'BS by month'!$AF$65,'BS by month'!#REF!,'BS by month'!#REF!,'BS by month'!#REF!,'BS by month'!#REF!,'BS by month'!#REF!</definedName>
    <definedName name="QB_FORMULA_59" localSheetId="13" hidden="1">'P&amp;L.by month'!$AB$64,'P&amp;L.by month'!$AF$64,'P&amp;L.by month'!#REF!,'P&amp;L.by month'!#REF!,'P&amp;L.by month'!#REF!,'P&amp;L.by month'!#REF!,'P&amp;L.by month'!#REF!,'P&amp;L.by month'!$W$65,'P&amp;L.by month'!$Y$65,'P&amp;L.by month'!$AB$65,'P&amp;L.by month'!$AF$65,'P&amp;L.by month'!#REF!,'P&amp;L.by month'!#REF!,'P&amp;L.by month'!#REF!,'P&amp;L.by month'!#REF!,'P&amp;L.by month'!#REF!</definedName>
    <definedName name="QB_FORMULA_59" localSheetId="11" hidden="1">'P&amp;L.current'!$AB$64,'P&amp;L.current'!$AF$64,'P&amp;L.current'!$AR$64,'P&amp;L.current'!$AX$64,'P&amp;L.current'!$AZ$64,'P&amp;L.current'!$BG$64,'P&amp;L.current'!$BI$64,'P&amp;L.current'!$W$65,'P&amp;L.current'!$Y$65,'P&amp;L.current'!$AB$65,'P&amp;L.current'!$AF$65,'P&amp;L.current'!$AR$65,'P&amp;L.current'!$AX$65,'P&amp;L.current'!$AZ$65,'P&amp;L.current'!$BG$65,'P&amp;L.current'!$BI$65</definedName>
    <definedName name="QB_FORMULA_59" localSheetId="12" hidden="1">'P&amp;L.prior'!$AB$64,'P&amp;L.prior'!$AF$64,'P&amp;L.prior'!#REF!,'P&amp;L.prior'!#REF!,'P&amp;L.prior'!#REF!,'P&amp;L.prior'!#REF!,'P&amp;L.prior'!#REF!,'P&amp;L.prior'!$W$65,'P&amp;L.prior'!$Y$65,'P&amp;L.prior'!$AB$65,'P&amp;L.prior'!$AF$65,'P&amp;L.prior'!#REF!,'P&amp;L.prior'!#REF!,'P&amp;L.prior'!#REF!,'P&amp;L.prior'!#REF!,'P&amp;L.prior'!#REF!</definedName>
    <definedName name="QB_FORMULA_6" localSheetId="10" hidden="1">'BS by month'!#REF!,'BS by month'!#REF!,'BS by month'!$I$14,'BS by month'!$J$14,'BS by month'!$K$14,'BS by month'!$L$14,'BS by month'!$M$14,'BS by month'!$N$14,'BS by month'!$O$14,'BS by month'!$P$14,'BS by month'!$Q$14,'BS by month'!$R$14,'BS by month'!$S$14,'BS by month'!$T$14,'BS by month'!$U$14,'BS by month'!$V$14</definedName>
    <definedName name="QB_FORMULA_6" localSheetId="13" hidden="1">'P&amp;L.by month'!#REF!,'P&amp;L.by month'!#REF!,'P&amp;L.by month'!$I$14,'P&amp;L.by month'!$J$14,'P&amp;L.by month'!$K$14,'P&amp;L.by month'!$L$14,'P&amp;L.by month'!$M$14,'P&amp;L.by month'!$N$14,'P&amp;L.by month'!$O$14,'P&amp;L.by month'!$P$14,'P&amp;L.by month'!$Q$14,'P&amp;L.by month'!$R$14,'P&amp;L.by month'!$S$14,'P&amp;L.by month'!$T$14,'P&amp;L.by month'!$U$14,'P&amp;L.by month'!$V$14</definedName>
    <definedName name="QB_FORMULA_6" localSheetId="11" hidden="1">'P&amp;L.current'!$BG$13,'P&amp;L.current'!$BI$13,'P&amp;L.current'!$I$14,'P&amp;L.current'!$J$14,'P&amp;L.current'!$K$14,'P&amp;L.current'!$L$14,'P&amp;L.current'!$M$14,'P&amp;L.current'!$N$14,'P&amp;L.current'!$O$14,'P&amp;L.current'!$P$14,'P&amp;L.current'!$Q$14,'P&amp;L.current'!$R$14,'P&amp;L.current'!$S$14,'P&amp;L.current'!$T$14,'P&amp;L.current'!$U$14,'P&amp;L.current'!$V$14</definedName>
    <definedName name="QB_FORMULA_6" localSheetId="12" hidden="1">'P&amp;L.prior'!#REF!,'P&amp;L.prior'!#REF!,'P&amp;L.prior'!$I$14,'P&amp;L.prior'!$J$14,'P&amp;L.prior'!$K$14,'P&amp;L.prior'!$L$14,'P&amp;L.prior'!$M$14,'P&amp;L.prior'!$N$14,'P&amp;L.prior'!$O$14,'P&amp;L.prior'!$P$14,'P&amp;L.prior'!$Q$14,'P&amp;L.prior'!$R$14,'P&amp;L.prior'!$S$14,'P&amp;L.prior'!$T$14,'P&amp;L.prior'!$U$14,'P&amp;L.prior'!$V$14</definedName>
    <definedName name="QB_FORMULA_60" localSheetId="10" hidden="1">'BS by month'!$I$66,'BS by month'!$J$66,'BS by month'!$K$66,'BS by month'!$L$66,'BS by month'!$M$66,'BS by month'!$N$66,'BS by month'!$O$66,'BS by month'!$P$66,'BS by month'!$Q$66,'BS by month'!$R$66,'BS by month'!$S$66,'BS by month'!$T$66,'BS by month'!$U$66,'BS by month'!$V$66,'BS by month'!$W$66,'BS by month'!$X$66</definedName>
    <definedName name="QB_FORMULA_60" localSheetId="13" hidden="1">'P&amp;L.by month'!$I$66,'P&amp;L.by month'!$J$66,'P&amp;L.by month'!$K$66,'P&amp;L.by month'!$L$66,'P&amp;L.by month'!$M$66,'P&amp;L.by month'!$N$66,'P&amp;L.by month'!$O$66,'P&amp;L.by month'!$P$66,'P&amp;L.by month'!$Q$66,'P&amp;L.by month'!$R$66,'P&amp;L.by month'!$S$66,'P&amp;L.by month'!$T$66,'P&amp;L.by month'!$U$66,'P&amp;L.by month'!$V$66,'P&amp;L.by month'!$W$66,'P&amp;L.by month'!$X$66</definedName>
    <definedName name="QB_FORMULA_60" localSheetId="11" hidden="1">'P&amp;L.current'!$I$66,'P&amp;L.current'!$J$66,'P&amp;L.current'!$K$66,'P&amp;L.current'!$L$66,'P&amp;L.current'!$M$66,'P&amp;L.current'!$N$66,'P&amp;L.current'!$O$66,'P&amp;L.current'!$P$66,'P&amp;L.current'!$Q$66,'P&amp;L.current'!$R$66,'P&amp;L.current'!$S$66,'P&amp;L.current'!$T$66,'P&amp;L.current'!$U$66,'P&amp;L.current'!$V$66,'P&amp;L.current'!$W$66,'P&amp;L.current'!$X$66</definedName>
    <definedName name="QB_FORMULA_60" localSheetId="12" hidden="1">'P&amp;L.prior'!$I$66,'P&amp;L.prior'!$J$66,'P&amp;L.prior'!$K$66,'P&amp;L.prior'!$L$66,'P&amp;L.prior'!$M$66,'P&amp;L.prior'!$N$66,'P&amp;L.prior'!$O$66,'P&amp;L.prior'!$P$66,'P&amp;L.prior'!$Q$66,'P&amp;L.prior'!$R$66,'P&amp;L.prior'!$S$66,'P&amp;L.prior'!$T$66,'P&amp;L.prior'!$U$66,'P&amp;L.prior'!$V$66,'P&amp;L.prior'!$W$66,'P&amp;L.prior'!$X$66</definedName>
    <definedName name="QB_FORMULA_61" localSheetId="10" hidden="1">'BS by month'!$Y$66,'BS by month'!$Z$66,'BS by month'!$AA$66,'BS by month'!$AB$66,'BS by month'!$AC$66,'BS by month'!$AD$66,'BS by month'!$AE$66,'BS by month'!$AF$66,'BS by month'!$AG$66,'BS by month'!$AH$66,'BS by month'!$AI$66,'BS by month'!$AJ$66,'BS by month'!$AK$66,'BS by month'!$AL$66,'BS by month'!#REF!,'BS by month'!#REF!</definedName>
    <definedName name="QB_FORMULA_61" localSheetId="13" hidden="1">'P&amp;L.by month'!$Y$66,'P&amp;L.by month'!$Z$66,'P&amp;L.by month'!$AA$66,'P&amp;L.by month'!$AB$66,'P&amp;L.by month'!$AC$66,'P&amp;L.by month'!$AD$66,'P&amp;L.by month'!$AE$66,'P&amp;L.by month'!$AF$66,'P&amp;L.by month'!$AG$66,'P&amp;L.by month'!$AH$66,'P&amp;L.by month'!$AI$66,'P&amp;L.by month'!$AJ$66,'P&amp;L.by month'!$AK$66,'P&amp;L.by month'!$AL$66,'P&amp;L.by month'!#REF!,'P&amp;L.by month'!#REF!</definedName>
    <definedName name="QB_FORMULA_61" localSheetId="11" hidden="1">'P&amp;L.current'!$Y$66,'P&amp;L.current'!$Z$66,'P&amp;L.current'!$AA$66,'P&amp;L.current'!$AB$66,'P&amp;L.current'!$AC$66,'P&amp;L.current'!$AD$66,'P&amp;L.current'!$AE$66,'P&amp;L.current'!$AF$66,'P&amp;L.current'!$AG$66,'P&amp;L.current'!$AH$66,'P&amp;L.current'!$AI$66,'P&amp;L.current'!$AJ$66,'P&amp;L.current'!$AK$66,'P&amp;L.current'!$AL$66,'P&amp;L.current'!$AM$66,'P&amp;L.current'!$AN$66</definedName>
    <definedName name="QB_FORMULA_61" localSheetId="12" hidden="1">'P&amp;L.prior'!$Y$66,'P&amp;L.prior'!$Z$66,'P&amp;L.prior'!$AA$66,'P&amp;L.prior'!$AB$66,'P&amp;L.prior'!$AC$66,'P&amp;L.prior'!$AD$66,'P&amp;L.prior'!$AE$66,'P&amp;L.prior'!$AF$66,'P&amp;L.prior'!$AG$66,'P&amp;L.prior'!$AH$66,'P&amp;L.prior'!$AI$66,'P&amp;L.prior'!$AJ$66,'P&amp;L.prior'!$AK$66,'P&amp;L.prior'!$AL$66,'P&amp;L.prior'!#REF!,'P&amp;L.prior'!#REF!</definedName>
    <definedName name="QB_FORMULA_62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62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62" localSheetId="11" hidden="1">'P&amp;L.current'!$AO$66,'P&amp;L.current'!$AP$66,'P&amp;L.current'!$AQ$66,'P&amp;L.current'!$AR$66,'P&amp;L.current'!$AS$66,'P&amp;L.current'!$AT$66,'P&amp;L.current'!$AU$66,'P&amp;L.current'!$AV$66,'P&amp;L.current'!$AW$66,'P&amp;L.current'!$AX$66,'P&amp;L.current'!$AY$66,'P&amp;L.current'!$AZ$66,'P&amp;L.current'!$BA$66,'P&amp;L.current'!$BB$66,'P&amp;L.current'!$BC$66,'P&amp;L.current'!$BD$66</definedName>
    <definedName name="QB_FORMULA_62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63" localSheetId="10" hidden="1">'BS by month'!#REF!,'BS by month'!#REF!,'BS by month'!#REF!,'BS by month'!#REF!,'BS by month'!#REF!,'BS by month'!$W$68,'BS by month'!$Y$68,'BS by month'!$AB$68,'BS by month'!$AF$68,'BS by month'!#REF!,'BS by month'!#REF!,'BS by month'!#REF!,'BS by month'!#REF!,'BS by month'!#REF!,'BS by month'!$W$69,'BS by month'!$Y$69</definedName>
    <definedName name="QB_FORMULA_63" localSheetId="13" hidden="1">'P&amp;L.by month'!#REF!,'P&amp;L.by month'!#REF!,'P&amp;L.by month'!#REF!,'P&amp;L.by month'!#REF!,'P&amp;L.by month'!#REF!,'P&amp;L.by month'!$W$68,'P&amp;L.by month'!$Y$68,'P&amp;L.by month'!$AB$68,'P&amp;L.by month'!$AF$68,'P&amp;L.by month'!#REF!,'P&amp;L.by month'!#REF!,'P&amp;L.by month'!#REF!,'P&amp;L.by month'!#REF!,'P&amp;L.by month'!#REF!,'P&amp;L.by month'!$W$69,'P&amp;L.by month'!$Y$69</definedName>
    <definedName name="QB_FORMULA_63" localSheetId="11" hidden="1">'P&amp;L.current'!$BE$66,'P&amp;L.current'!$BF$66,'P&amp;L.current'!$BG$66,'P&amp;L.current'!$BH$66,'P&amp;L.current'!$BI$66,'P&amp;L.current'!$W$68,'P&amp;L.current'!$Y$68,'P&amp;L.current'!$AB$68,'P&amp;L.current'!$AF$68,'P&amp;L.current'!$AR$68,'P&amp;L.current'!$AX$68,'P&amp;L.current'!$AZ$68,'P&amp;L.current'!$BG$68,'P&amp;L.current'!$BI$68,'P&amp;L.current'!$W$69,'P&amp;L.current'!$Y$69</definedName>
    <definedName name="QB_FORMULA_63" localSheetId="12" hidden="1">'P&amp;L.prior'!#REF!,'P&amp;L.prior'!#REF!,'P&amp;L.prior'!#REF!,'P&amp;L.prior'!#REF!,'P&amp;L.prior'!#REF!,'P&amp;L.prior'!$W$68,'P&amp;L.prior'!$Y$68,'P&amp;L.prior'!$AB$68,'P&amp;L.prior'!$AF$68,'P&amp;L.prior'!#REF!,'P&amp;L.prior'!#REF!,'P&amp;L.prior'!#REF!,'P&amp;L.prior'!#REF!,'P&amp;L.prior'!#REF!,'P&amp;L.prior'!$W$69,'P&amp;L.prior'!$Y$69</definedName>
    <definedName name="QB_FORMULA_64" localSheetId="10" hidden="1">'BS by month'!$AB$69,'BS by month'!$AF$69,'BS by month'!#REF!,'BS by month'!#REF!,'BS by month'!#REF!,'BS by month'!#REF!,'BS by month'!#REF!,'BS by month'!$W$70,'BS by month'!$Y$70,'BS by month'!$AB$70,'BS by month'!$AF$70,'BS by month'!#REF!,'BS by month'!#REF!,'BS by month'!#REF!,'BS by month'!#REF!,'BS by month'!#REF!</definedName>
    <definedName name="QB_FORMULA_64" localSheetId="13" hidden="1">'P&amp;L.by month'!$AB$69,'P&amp;L.by month'!$AF$69,'P&amp;L.by month'!#REF!,'P&amp;L.by month'!#REF!,'P&amp;L.by month'!#REF!,'P&amp;L.by month'!#REF!,'P&amp;L.by month'!#REF!,'P&amp;L.by month'!$W$70,'P&amp;L.by month'!$Y$70,'P&amp;L.by month'!$AB$70,'P&amp;L.by month'!$AF$70,'P&amp;L.by month'!#REF!,'P&amp;L.by month'!#REF!,'P&amp;L.by month'!#REF!,'P&amp;L.by month'!#REF!,'P&amp;L.by month'!#REF!</definedName>
    <definedName name="QB_FORMULA_64" localSheetId="11" hidden="1">'P&amp;L.current'!$AB$69,'P&amp;L.current'!$AF$69,'P&amp;L.current'!$AR$69,'P&amp;L.current'!$AX$69,'P&amp;L.current'!$AZ$69,'P&amp;L.current'!$BG$69,'P&amp;L.current'!$BI$69,'P&amp;L.current'!$W$70,'P&amp;L.current'!$Y$70,'P&amp;L.current'!$AB$70,'P&amp;L.current'!$AF$70,'P&amp;L.current'!$AR$70,'P&amp;L.current'!$AX$70,'P&amp;L.current'!$AZ$70,'P&amp;L.current'!$BG$70,'P&amp;L.current'!$BI$70</definedName>
    <definedName name="QB_FORMULA_64" localSheetId="12" hidden="1">'P&amp;L.prior'!$AB$69,'P&amp;L.prior'!$AF$69,'P&amp;L.prior'!#REF!,'P&amp;L.prior'!#REF!,'P&amp;L.prior'!#REF!,'P&amp;L.prior'!#REF!,'P&amp;L.prior'!#REF!,'P&amp;L.prior'!$W$70,'P&amp;L.prior'!$Y$70,'P&amp;L.prior'!$AB$70,'P&amp;L.prior'!$AF$70,'P&amp;L.prior'!#REF!,'P&amp;L.prior'!#REF!,'P&amp;L.prior'!#REF!,'P&amp;L.prior'!#REF!,'P&amp;L.prior'!#REF!</definedName>
    <definedName name="QB_FORMULA_65" localSheetId="10" hidden="1">'BS by month'!$I$71,'BS by month'!$J$71,'BS by month'!$K$71,'BS by month'!$L$71,'BS by month'!$M$71,'BS by month'!$N$71,'BS by month'!$O$71,'BS by month'!$P$71,'BS by month'!$Q$71,'BS by month'!$R$71,'BS by month'!$S$71,'BS by month'!$T$71,'BS by month'!$U$71,'BS by month'!$V$71,'BS by month'!$W$71,'BS by month'!$X$71</definedName>
    <definedName name="QB_FORMULA_65" localSheetId="13" hidden="1">'P&amp;L.by month'!$I$71,'P&amp;L.by month'!$J$71,'P&amp;L.by month'!$K$71,'P&amp;L.by month'!$L$71,'P&amp;L.by month'!$M$71,'P&amp;L.by month'!$N$71,'P&amp;L.by month'!$O$71,'P&amp;L.by month'!$P$71,'P&amp;L.by month'!$Q$71,'P&amp;L.by month'!$R$71,'P&amp;L.by month'!$S$71,'P&amp;L.by month'!$T$71,'P&amp;L.by month'!$U$71,'P&amp;L.by month'!$V$71,'P&amp;L.by month'!$W$71,'P&amp;L.by month'!$X$71</definedName>
    <definedName name="QB_FORMULA_65" localSheetId="11" hidden="1">'P&amp;L.current'!$I$71,'P&amp;L.current'!$J$71,'P&amp;L.current'!$K$71,'P&amp;L.current'!$L$71,'P&amp;L.current'!$M$71,'P&amp;L.current'!$N$71,'P&amp;L.current'!$O$71,'P&amp;L.current'!$P$71,'P&amp;L.current'!$Q$71,'P&amp;L.current'!$R$71,'P&amp;L.current'!$S$71,'P&amp;L.current'!$T$71,'P&amp;L.current'!$U$71,'P&amp;L.current'!$V$71,'P&amp;L.current'!$W$71,'P&amp;L.current'!$X$71</definedName>
    <definedName name="QB_FORMULA_65" localSheetId="12" hidden="1">'P&amp;L.prior'!$I$71,'P&amp;L.prior'!$J$71,'P&amp;L.prior'!$K$71,'P&amp;L.prior'!$L$71,'P&amp;L.prior'!$M$71,'P&amp;L.prior'!$N$71,'P&amp;L.prior'!$O$71,'P&amp;L.prior'!$P$71,'P&amp;L.prior'!$Q$71,'P&amp;L.prior'!$R$71,'P&amp;L.prior'!$S$71,'P&amp;L.prior'!$T$71,'P&amp;L.prior'!$U$71,'P&amp;L.prior'!$V$71,'P&amp;L.prior'!$W$71,'P&amp;L.prior'!$X$71</definedName>
    <definedName name="QB_FORMULA_66" localSheetId="10" hidden="1">'BS by month'!$Y$71,'BS by month'!$Z$71,'BS by month'!$AA$71,'BS by month'!$AB$71,'BS by month'!$AC$71,'BS by month'!$AD$71,'BS by month'!$AE$71,'BS by month'!$AF$71,'BS by month'!$AG$71,'BS by month'!$AH$71,'BS by month'!$AI$71,'BS by month'!$AJ$71,'BS by month'!$AK$71,'BS by month'!$AL$71,'BS by month'!#REF!,'BS by month'!#REF!</definedName>
    <definedName name="QB_FORMULA_66" localSheetId="13" hidden="1">'P&amp;L.by month'!$Y$71,'P&amp;L.by month'!$Z$71,'P&amp;L.by month'!$AA$71,'P&amp;L.by month'!$AB$71,'P&amp;L.by month'!$AC$71,'P&amp;L.by month'!$AD$71,'P&amp;L.by month'!$AE$71,'P&amp;L.by month'!$AF$71,'P&amp;L.by month'!$AG$71,'P&amp;L.by month'!$AH$71,'P&amp;L.by month'!$AI$71,'P&amp;L.by month'!$AJ$71,'P&amp;L.by month'!$AK$71,'P&amp;L.by month'!$AL$71,'P&amp;L.by month'!#REF!,'P&amp;L.by month'!#REF!</definedName>
    <definedName name="QB_FORMULA_66" localSheetId="11" hidden="1">'P&amp;L.current'!$Y$71,'P&amp;L.current'!$Z$71,'P&amp;L.current'!$AA$71,'P&amp;L.current'!$AB$71,'P&amp;L.current'!$AC$71,'P&amp;L.current'!$AD$71,'P&amp;L.current'!$AE$71,'P&amp;L.current'!$AF$71,'P&amp;L.current'!$AG$71,'P&amp;L.current'!$AH$71,'P&amp;L.current'!$AI$71,'P&amp;L.current'!$AJ$71,'P&amp;L.current'!$AK$71,'P&amp;L.current'!$AL$71,'P&amp;L.current'!$AM$71,'P&amp;L.current'!$AN$71</definedName>
    <definedName name="QB_FORMULA_66" localSheetId="12" hidden="1">'P&amp;L.prior'!$Y$71,'P&amp;L.prior'!$Z$71,'P&amp;L.prior'!$AA$71,'P&amp;L.prior'!$AB$71,'P&amp;L.prior'!$AC$71,'P&amp;L.prior'!$AD$71,'P&amp;L.prior'!$AE$71,'P&amp;L.prior'!$AF$71,'P&amp;L.prior'!$AG$71,'P&amp;L.prior'!$AH$71,'P&amp;L.prior'!$AI$71,'P&amp;L.prior'!$AJ$71,'P&amp;L.prior'!$AK$71,'P&amp;L.prior'!$AL$71,'P&amp;L.prior'!#REF!,'P&amp;L.prior'!#REF!</definedName>
    <definedName name="QB_FORMULA_67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67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67" localSheetId="11" hidden="1">'P&amp;L.current'!$AO$71,'P&amp;L.current'!$AP$71,'P&amp;L.current'!$AQ$71,'P&amp;L.current'!$AR$71,'P&amp;L.current'!$AS$71,'P&amp;L.current'!$AT$71,'P&amp;L.current'!$AU$71,'P&amp;L.current'!$AV$71,'P&amp;L.current'!$AW$71,'P&amp;L.current'!$AX$71,'P&amp;L.current'!$AY$71,'P&amp;L.current'!$AZ$71,'P&amp;L.current'!$BA$71,'P&amp;L.current'!$BB$71,'P&amp;L.current'!$BC$71,'P&amp;L.current'!$BD$71</definedName>
    <definedName name="QB_FORMULA_67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68" localSheetId="10" hidden="1">'BS by month'!#REF!,'BS by month'!#REF!,'BS by month'!#REF!,'BS by month'!#REF!,'BS by month'!#REF!,'BS by month'!$W$73,'BS by month'!$Y$73,'BS by month'!$AB$73,'BS by month'!$AF$73,'BS by month'!#REF!,'BS by month'!#REF!,'BS by month'!#REF!,'BS by month'!#REF!,'BS by month'!#REF!,'BS by month'!$W$74,'BS by month'!$Y$74</definedName>
    <definedName name="QB_FORMULA_68" localSheetId="13" hidden="1">'P&amp;L.by month'!#REF!,'P&amp;L.by month'!#REF!,'P&amp;L.by month'!#REF!,'P&amp;L.by month'!#REF!,'P&amp;L.by month'!#REF!,'P&amp;L.by month'!$W$73,'P&amp;L.by month'!$Y$73,'P&amp;L.by month'!$AB$73,'P&amp;L.by month'!$AF$73,'P&amp;L.by month'!#REF!,'P&amp;L.by month'!#REF!,'P&amp;L.by month'!#REF!,'P&amp;L.by month'!#REF!,'P&amp;L.by month'!#REF!,'P&amp;L.by month'!$W$74,'P&amp;L.by month'!$Y$74</definedName>
    <definedName name="QB_FORMULA_68" localSheetId="11" hidden="1">'P&amp;L.current'!$BE$71,'P&amp;L.current'!$BF$71,'P&amp;L.current'!$BG$71,'P&amp;L.current'!$BH$71,'P&amp;L.current'!$BI$71,'P&amp;L.current'!$W$73,'P&amp;L.current'!$Y$73,'P&amp;L.current'!$AB$73,'P&amp;L.current'!$AF$73,'P&amp;L.current'!$AR$73,'P&amp;L.current'!$AX$73,'P&amp;L.current'!$AZ$73,'P&amp;L.current'!$BG$73,'P&amp;L.current'!$BI$73,'P&amp;L.current'!$W$74,'P&amp;L.current'!$Y$74</definedName>
    <definedName name="QB_FORMULA_68" localSheetId="12" hidden="1">'P&amp;L.prior'!#REF!,'P&amp;L.prior'!#REF!,'P&amp;L.prior'!#REF!,'P&amp;L.prior'!#REF!,'P&amp;L.prior'!#REF!,'P&amp;L.prior'!$W$73,'P&amp;L.prior'!$Y$73,'P&amp;L.prior'!$AB$73,'P&amp;L.prior'!$AF$73,'P&amp;L.prior'!#REF!,'P&amp;L.prior'!#REF!,'P&amp;L.prior'!#REF!,'P&amp;L.prior'!#REF!,'P&amp;L.prior'!#REF!,'P&amp;L.prior'!$W$74,'P&amp;L.prior'!$Y$74</definedName>
    <definedName name="QB_FORMULA_69" localSheetId="10" hidden="1">'BS by month'!$AB$74,'BS by month'!$AF$74,'BS by month'!#REF!,'BS by month'!#REF!,'BS by month'!#REF!,'BS by month'!#REF!,'BS by month'!#REF!,'BS by month'!$W$75,'BS by month'!$Y$75,'BS by month'!$AB$75,'BS by month'!$AF$75,'BS by month'!#REF!,'BS by month'!#REF!,'BS by month'!#REF!,'BS by month'!#REF!,'BS by month'!#REF!</definedName>
    <definedName name="QB_FORMULA_69" localSheetId="13" hidden="1">'P&amp;L.by month'!$AB$74,'P&amp;L.by month'!$AF$74,'P&amp;L.by month'!#REF!,'P&amp;L.by month'!#REF!,'P&amp;L.by month'!#REF!,'P&amp;L.by month'!#REF!,'P&amp;L.by month'!#REF!,'P&amp;L.by month'!$W$75,'P&amp;L.by month'!$Y$75,'P&amp;L.by month'!$AB$75,'P&amp;L.by month'!$AF$75,'P&amp;L.by month'!#REF!,'P&amp;L.by month'!#REF!,'P&amp;L.by month'!#REF!,'P&amp;L.by month'!#REF!,'P&amp;L.by month'!#REF!</definedName>
    <definedName name="QB_FORMULA_69" localSheetId="11" hidden="1">'P&amp;L.current'!$AB$74,'P&amp;L.current'!$AF$74,'P&amp;L.current'!$AR$74,'P&amp;L.current'!$AX$74,'P&amp;L.current'!$AZ$74,'P&amp;L.current'!$BG$74,'P&amp;L.current'!$BI$74,'P&amp;L.current'!$W$75,'P&amp;L.current'!$Y$75,'P&amp;L.current'!$AB$75,'P&amp;L.current'!$AF$75,'P&amp;L.current'!$AR$75,'P&amp;L.current'!$AX$75,'P&amp;L.current'!$AZ$75,'P&amp;L.current'!$BG$75,'P&amp;L.current'!$BI$75</definedName>
    <definedName name="QB_FORMULA_69" localSheetId="12" hidden="1">'P&amp;L.prior'!$AB$74,'P&amp;L.prior'!$AF$74,'P&amp;L.prior'!#REF!,'P&amp;L.prior'!#REF!,'P&amp;L.prior'!#REF!,'P&amp;L.prior'!#REF!,'P&amp;L.prior'!#REF!,'P&amp;L.prior'!$W$75,'P&amp;L.prior'!$Y$75,'P&amp;L.prior'!$AB$75,'P&amp;L.prior'!$AF$75,'P&amp;L.prior'!#REF!,'P&amp;L.prior'!#REF!,'P&amp;L.prior'!#REF!,'P&amp;L.prior'!#REF!,'P&amp;L.prior'!#REF!</definedName>
    <definedName name="QB_FORMULA_7" localSheetId="10" hidden="1">'BS by month'!$W$14,'BS by month'!$X$14,'BS by month'!$Y$14,'BS by month'!$Z$14,'BS by month'!$AA$14,'BS by month'!$AB$14,'BS by month'!$AC$14,'BS by month'!$AD$14,'BS by month'!$AE$14,'BS by month'!$AF$14,'BS by month'!$AG$14,'BS by month'!$AH$14,'BS by month'!$AI$14,'BS by month'!$AJ$14,'BS by month'!$AK$14,'BS by month'!$AL$14</definedName>
    <definedName name="QB_FORMULA_7" localSheetId="13" hidden="1">'P&amp;L.by month'!$W$14,'P&amp;L.by month'!$X$14,'P&amp;L.by month'!$Y$14,'P&amp;L.by month'!$Z$14,'P&amp;L.by month'!$AA$14,'P&amp;L.by month'!$AB$14,'P&amp;L.by month'!$AC$14,'P&amp;L.by month'!$AD$14,'P&amp;L.by month'!$AE$14,'P&amp;L.by month'!$AF$14,'P&amp;L.by month'!$AG$14,'P&amp;L.by month'!$AH$14,'P&amp;L.by month'!$AI$14,'P&amp;L.by month'!$AJ$14,'P&amp;L.by month'!$AK$14,'P&amp;L.by month'!$AL$14</definedName>
    <definedName name="QB_FORMULA_7" localSheetId="11" hidden="1">'P&amp;L.current'!$W$14,'P&amp;L.current'!$X$14,'P&amp;L.current'!$Y$14,'P&amp;L.current'!$Z$14,'P&amp;L.current'!$AA$14,'P&amp;L.current'!$AB$14,'P&amp;L.current'!$AC$14,'P&amp;L.current'!$AD$14,'P&amp;L.current'!$AE$14,'P&amp;L.current'!$AF$14,'P&amp;L.current'!$AG$14,'P&amp;L.current'!$AH$14,'P&amp;L.current'!$AI$14,'P&amp;L.current'!$AJ$14,'P&amp;L.current'!$AK$14,'P&amp;L.current'!$AL$14</definedName>
    <definedName name="QB_FORMULA_7" localSheetId="12" hidden="1">'P&amp;L.prior'!$W$14,'P&amp;L.prior'!$X$14,'P&amp;L.prior'!$Y$14,'P&amp;L.prior'!$Z$14,'P&amp;L.prior'!$AA$14,'P&amp;L.prior'!$AB$14,'P&amp;L.prior'!$AC$14,'P&amp;L.prior'!$AD$14,'P&amp;L.prior'!$AE$14,'P&amp;L.prior'!$AF$14,'P&amp;L.prior'!$AG$14,'P&amp;L.prior'!$AH$14,'P&amp;L.prior'!$AI$14,'P&amp;L.prior'!$AJ$14,'P&amp;L.prior'!$AK$14,'P&amp;L.prior'!$AL$14</definedName>
    <definedName name="QB_FORMULA_70" localSheetId="10" hidden="1">'BS by month'!$W$76,'BS by month'!$Y$76,'BS by month'!$AB$76,'BS by month'!$AF$76,'BS by month'!#REF!,'BS by month'!#REF!,'BS by month'!#REF!,'BS by month'!#REF!,'BS by month'!#REF!,'BS by month'!$W$77,'BS by month'!$Y$77,'BS by month'!$AB$77,'BS by month'!$AF$77,'BS by month'!#REF!,'BS by month'!#REF!,'BS by month'!#REF!</definedName>
    <definedName name="QB_FORMULA_70" localSheetId="13" hidden="1">'P&amp;L.by month'!$W$76,'P&amp;L.by month'!$Y$76,'P&amp;L.by month'!$AB$76,'P&amp;L.by month'!$AF$76,'P&amp;L.by month'!#REF!,'P&amp;L.by month'!#REF!,'P&amp;L.by month'!#REF!,'P&amp;L.by month'!#REF!,'P&amp;L.by month'!#REF!,'P&amp;L.by month'!$W$77,'P&amp;L.by month'!$Y$77,'P&amp;L.by month'!$AB$77,'P&amp;L.by month'!$AF$77,'P&amp;L.by month'!#REF!,'P&amp;L.by month'!#REF!,'P&amp;L.by month'!#REF!</definedName>
    <definedName name="QB_FORMULA_70" localSheetId="11" hidden="1">'P&amp;L.current'!$W$76,'P&amp;L.current'!$Y$76,'P&amp;L.current'!$AB$76,'P&amp;L.current'!$AF$76,'P&amp;L.current'!$AR$76,'P&amp;L.current'!$AX$76,'P&amp;L.current'!$AZ$76,'P&amp;L.current'!$BG$76,'P&amp;L.current'!$BI$76,'P&amp;L.current'!$W$77,'P&amp;L.current'!$Y$77,'P&amp;L.current'!$AB$77,'P&amp;L.current'!$AF$77,'P&amp;L.current'!$AR$77,'P&amp;L.current'!$AX$77,'P&amp;L.current'!$AZ$77</definedName>
    <definedName name="QB_FORMULA_70" localSheetId="12" hidden="1">'P&amp;L.prior'!$W$76,'P&amp;L.prior'!$Y$76,'P&amp;L.prior'!$AB$76,'P&amp;L.prior'!$AF$76,'P&amp;L.prior'!#REF!,'P&amp;L.prior'!#REF!,'P&amp;L.prior'!#REF!,'P&amp;L.prior'!#REF!,'P&amp;L.prior'!#REF!,'P&amp;L.prior'!$W$77,'P&amp;L.prior'!$Y$77,'P&amp;L.prior'!$AB$77,'P&amp;L.prior'!$AF$77,'P&amp;L.prior'!#REF!,'P&amp;L.prior'!#REF!,'P&amp;L.prior'!#REF!</definedName>
    <definedName name="QB_FORMULA_71" localSheetId="10" hidden="1">'BS by month'!#REF!,'BS by month'!#REF!,'BS by month'!$W$78,'BS by month'!$Y$78,'BS by month'!$AB$78,'BS by month'!$AF$78,'BS by month'!#REF!,'BS by month'!#REF!,'BS by month'!#REF!,'BS by month'!#REF!,'BS by month'!#REF!,'BS by month'!$W$79,'BS by month'!$Y$79,'BS by month'!$AB$79,'BS by month'!$AF$79,'BS by month'!#REF!</definedName>
    <definedName name="QB_FORMULA_71" localSheetId="13" hidden="1">'P&amp;L.by month'!#REF!,'P&amp;L.by month'!#REF!,'P&amp;L.by month'!$W$78,'P&amp;L.by month'!$Y$78,'P&amp;L.by month'!$AB$78,'P&amp;L.by month'!$AF$78,'P&amp;L.by month'!#REF!,'P&amp;L.by month'!#REF!,'P&amp;L.by month'!#REF!,'P&amp;L.by month'!#REF!,'P&amp;L.by month'!#REF!,'P&amp;L.by month'!$W$79,'P&amp;L.by month'!$Y$79,'P&amp;L.by month'!$AB$79,'P&amp;L.by month'!$AF$79,'P&amp;L.by month'!#REF!</definedName>
    <definedName name="QB_FORMULA_71" localSheetId="11" hidden="1">'P&amp;L.current'!$BG$77,'P&amp;L.current'!$BI$77,'P&amp;L.current'!$W$78,'P&amp;L.current'!$Y$78,'P&amp;L.current'!$AB$78,'P&amp;L.current'!$AF$78,'P&amp;L.current'!$AR$78,'P&amp;L.current'!$AX$78,'P&amp;L.current'!$AZ$78,'P&amp;L.current'!$BG$78,'P&amp;L.current'!$BI$78,'P&amp;L.current'!$W$79,'P&amp;L.current'!$Y$79,'P&amp;L.current'!$AB$79,'P&amp;L.current'!$AF$79,'P&amp;L.current'!$AR$79</definedName>
    <definedName name="QB_FORMULA_71" localSheetId="12" hidden="1">'P&amp;L.prior'!#REF!,'P&amp;L.prior'!#REF!,'P&amp;L.prior'!$W$78,'P&amp;L.prior'!$Y$78,'P&amp;L.prior'!$AB$78,'P&amp;L.prior'!$AF$78,'P&amp;L.prior'!#REF!,'P&amp;L.prior'!#REF!,'P&amp;L.prior'!#REF!,'P&amp;L.prior'!#REF!,'P&amp;L.prior'!#REF!,'P&amp;L.prior'!$W$79,'P&amp;L.prior'!$Y$79,'P&amp;L.prior'!$AB$79,'P&amp;L.prior'!$AF$79,'P&amp;L.prior'!#REF!</definedName>
    <definedName name="QB_FORMULA_72" localSheetId="10" hidden="1">'BS by month'!#REF!,'BS by month'!#REF!,'BS by month'!#REF!,'BS by month'!#REF!,'BS by month'!$I$80,'BS by month'!$J$80,'BS by month'!$K$80,'BS by month'!$L$80,'BS by month'!$M$80,'BS by month'!$N$80,'BS by month'!$O$80,'BS by month'!$P$80,'BS by month'!$Q$80,'BS by month'!$R$80,'BS by month'!$S$80,'BS by month'!$T$80</definedName>
    <definedName name="QB_FORMULA_72" localSheetId="13" hidden="1">'P&amp;L.by month'!#REF!,'P&amp;L.by month'!#REF!,'P&amp;L.by month'!#REF!,'P&amp;L.by month'!#REF!,'P&amp;L.by month'!$I$80,'P&amp;L.by month'!$J$80,'P&amp;L.by month'!$K$80,'P&amp;L.by month'!$L$80,'P&amp;L.by month'!$M$80,'P&amp;L.by month'!$N$80,'P&amp;L.by month'!$O$80,'P&amp;L.by month'!$P$80,'P&amp;L.by month'!$Q$80,'P&amp;L.by month'!$R$80,'P&amp;L.by month'!$S$80,'P&amp;L.by month'!$T$80</definedName>
    <definedName name="QB_FORMULA_72" localSheetId="11" hidden="1">'P&amp;L.current'!$AX$79,'P&amp;L.current'!$AZ$79,'P&amp;L.current'!$BG$79,'P&amp;L.current'!$BI$79,'P&amp;L.current'!$I$80,'P&amp;L.current'!$J$80,'P&amp;L.current'!$K$80,'P&amp;L.current'!$L$80,'P&amp;L.current'!$M$80,'P&amp;L.current'!$N$80,'P&amp;L.current'!$O$80,'P&amp;L.current'!$P$80,'P&amp;L.current'!$Q$80,'P&amp;L.current'!$R$80,'P&amp;L.current'!$S$80,'P&amp;L.current'!$T$80</definedName>
    <definedName name="QB_FORMULA_72" localSheetId="12" hidden="1">'P&amp;L.prior'!#REF!,'P&amp;L.prior'!#REF!,'P&amp;L.prior'!#REF!,'P&amp;L.prior'!#REF!,'P&amp;L.prior'!$I$80,'P&amp;L.prior'!$J$80,'P&amp;L.prior'!$K$80,'P&amp;L.prior'!$L$80,'P&amp;L.prior'!$M$80,'P&amp;L.prior'!$N$80,'P&amp;L.prior'!$O$80,'P&amp;L.prior'!$P$80,'P&amp;L.prior'!$Q$80,'P&amp;L.prior'!$R$80,'P&amp;L.prior'!$S$80,'P&amp;L.prior'!$T$80</definedName>
    <definedName name="QB_FORMULA_73" localSheetId="10" hidden="1">'BS by month'!$U$80,'BS by month'!$V$80,'BS by month'!$W$80,'BS by month'!$X$80,'BS by month'!$Y$80,'BS by month'!$Z$80,'BS by month'!$AA$80,'BS by month'!$AB$80,'BS by month'!$AC$80,'BS by month'!$AD$80,'BS by month'!$AE$80,'BS by month'!$AF$80,'BS by month'!$AG$80,'BS by month'!$AH$80,'BS by month'!$AI$80,'BS by month'!$AJ$80</definedName>
    <definedName name="QB_FORMULA_73" localSheetId="13" hidden="1">'P&amp;L.by month'!$U$80,'P&amp;L.by month'!$V$80,'P&amp;L.by month'!$W$80,'P&amp;L.by month'!$X$80,'P&amp;L.by month'!$Y$80,'P&amp;L.by month'!$Z$80,'P&amp;L.by month'!$AA$80,'P&amp;L.by month'!$AB$80,'P&amp;L.by month'!$AC$80,'P&amp;L.by month'!$AD$80,'P&amp;L.by month'!$AE$80,'P&amp;L.by month'!$AF$80,'P&amp;L.by month'!$AG$80,'P&amp;L.by month'!$AH$80,'P&amp;L.by month'!$AI$80,'P&amp;L.by month'!$AJ$80</definedName>
    <definedName name="QB_FORMULA_73" localSheetId="11" hidden="1">'P&amp;L.current'!$U$80,'P&amp;L.current'!$V$80,'P&amp;L.current'!$W$80,'P&amp;L.current'!$X$80,'P&amp;L.current'!$Y$80,'P&amp;L.current'!$Z$80,'P&amp;L.current'!$AA$80,'P&amp;L.current'!$AB$80,'P&amp;L.current'!$AC$80,'P&amp;L.current'!$AD$80,'P&amp;L.current'!$AE$80,'P&amp;L.current'!$AF$80,'P&amp;L.current'!$AG$80,'P&amp;L.current'!$AH$80,'P&amp;L.current'!$AI$80,'P&amp;L.current'!$AJ$80</definedName>
    <definedName name="QB_FORMULA_73" localSheetId="12" hidden="1">'P&amp;L.prior'!$U$80,'P&amp;L.prior'!$V$80,'P&amp;L.prior'!$W$80,'P&amp;L.prior'!$X$80,'P&amp;L.prior'!$Y$80,'P&amp;L.prior'!$Z$80,'P&amp;L.prior'!$AA$80,'P&amp;L.prior'!$AB$80,'P&amp;L.prior'!$AC$80,'P&amp;L.prior'!$AD$80,'P&amp;L.prior'!$AE$80,'P&amp;L.prior'!$AF$80,'P&amp;L.prior'!$AG$80,'P&amp;L.prior'!$AH$80,'P&amp;L.prior'!$AI$80,'P&amp;L.prior'!$AJ$80</definedName>
    <definedName name="QB_FORMULA_74" localSheetId="10" hidden="1">'BS by month'!$AK$80,'BS by month'!$AL$80,'BS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74" localSheetId="13" hidden="1">'P&amp;L.by month'!$AK$80,'P&amp;L.by month'!$AL$80,'P&amp;L.by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74" localSheetId="11" hidden="1">'P&amp;L.current'!$AK$80,'P&amp;L.current'!$AL$80,'P&amp;L.current'!$AM$80,'P&amp;L.current'!$AN$80,'P&amp;L.current'!$AO$80,'P&amp;L.current'!$AP$80,'P&amp;L.current'!$AQ$80,'P&amp;L.current'!$AR$80,'P&amp;L.current'!$AS$80,'P&amp;L.current'!$AT$80,'P&amp;L.current'!$AU$80,'P&amp;L.current'!$AV$80,'P&amp;L.current'!$AW$80,'P&amp;L.current'!$AX$80,'P&amp;L.current'!$AY$80,'P&amp;L.current'!$AZ$80</definedName>
    <definedName name="QB_FORMULA_74" localSheetId="12" hidden="1">'P&amp;L.prior'!$AK$80,'P&amp;L.prior'!$AL$80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75" localSheetId="10" hidden="1">'BS by month'!#REF!,'BS by month'!#REF!,'BS by month'!#REF!,'BS by month'!#REF!,'BS by month'!#REF!,'BS by month'!#REF!,'BS by month'!#REF!,'BS by month'!#REF!,'BS by month'!#REF!,'BS by month'!$W$82,'BS by month'!$Y$82,'BS by month'!$AB$82,'BS by month'!$AF$82,'BS by month'!#REF!,'BS by month'!#REF!,'BS by month'!#REF!</definedName>
    <definedName name="QB_FORMULA_75" localSheetId="13" hidden="1">'P&amp;L.by month'!#REF!,'P&amp;L.by month'!#REF!,'P&amp;L.by month'!#REF!,'P&amp;L.by month'!#REF!,'P&amp;L.by month'!#REF!,'P&amp;L.by month'!#REF!,'P&amp;L.by month'!#REF!,'P&amp;L.by month'!#REF!,'P&amp;L.by month'!#REF!,'P&amp;L.by month'!$W$82,'P&amp;L.by month'!$Y$82,'P&amp;L.by month'!$AB$82,'P&amp;L.by month'!$AF$82,'P&amp;L.by month'!#REF!,'P&amp;L.by month'!#REF!,'P&amp;L.by month'!#REF!</definedName>
    <definedName name="QB_FORMULA_75" localSheetId="11" hidden="1">'P&amp;L.current'!$BA$80,'P&amp;L.current'!$BB$80,'P&amp;L.current'!$BC$80,'P&amp;L.current'!$BD$80,'P&amp;L.current'!$BE$80,'P&amp;L.current'!$BF$80,'P&amp;L.current'!$BG$80,'P&amp;L.current'!$BH$80,'P&amp;L.current'!$BI$80,'P&amp;L.current'!$W$82,'P&amp;L.current'!$Y$82,'P&amp;L.current'!$AB$82,'P&amp;L.current'!$AF$82,'P&amp;L.current'!$AR$82,'P&amp;L.current'!$AX$82,'P&amp;L.current'!$AZ$82</definedName>
    <definedName name="QB_FORMULA_75" localSheetId="12" hidden="1">'P&amp;L.prior'!#REF!,'P&amp;L.prior'!#REF!,'P&amp;L.prior'!#REF!,'P&amp;L.prior'!#REF!,'P&amp;L.prior'!#REF!,'P&amp;L.prior'!#REF!,'P&amp;L.prior'!#REF!,'P&amp;L.prior'!#REF!,'P&amp;L.prior'!#REF!,'P&amp;L.prior'!$W$82,'P&amp;L.prior'!$Y$82,'P&amp;L.prior'!$AB$82,'P&amp;L.prior'!$AF$82,'P&amp;L.prior'!#REF!,'P&amp;L.prior'!#REF!,'P&amp;L.prior'!#REF!</definedName>
    <definedName name="QB_FORMULA_76" localSheetId="10" hidden="1">'BS by month'!#REF!,'BS by month'!#REF!,'BS by month'!$W$83,'BS by month'!$Y$83,'BS by month'!$AB$83,'BS by month'!$AF$83,'BS by month'!#REF!,'BS by month'!#REF!,'BS by month'!#REF!,'BS by month'!#REF!,'BS by month'!#REF!,'BS by month'!$W$84,'BS by month'!$Y$84,'BS by month'!$AB$84,'BS by month'!$AF$84,'BS by month'!#REF!</definedName>
    <definedName name="QB_FORMULA_76" localSheetId="13" hidden="1">'P&amp;L.by month'!#REF!,'P&amp;L.by month'!#REF!,'P&amp;L.by month'!$W$83,'P&amp;L.by month'!$Y$83,'P&amp;L.by month'!$AB$83,'P&amp;L.by month'!$AF$83,'P&amp;L.by month'!#REF!,'P&amp;L.by month'!#REF!,'P&amp;L.by month'!#REF!,'P&amp;L.by month'!#REF!,'P&amp;L.by month'!#REF!,'P&amp;L.by month'!$W$84,'P&amp;L.by month'!$Y$84,'P&amp;L.by month'!$AB$84,'P&amp;L.by month'!$AF$84,'P&amp;L.by month'!#REF!</definedName>
    <definedName name="QB_FORMULA_76" localSheetId="11" hidden="1">'P&amp;L.current'!$BG$82,'P&amp;L.current'!$BI$82,'P&amp;L.current'!$W$83,'P&amp;L.current'!$Y$83,'P&amp;L.current'!$AB$83,'P&amp;L.current'!$AF$83,'P&amp;L.current'!$AR$83,'P&amp;L.current'!$AX$83,'P&amp;L.current'!$AZ$83,'P&amp;L.current'!$BG$83,'P&amp;L.current'!$BI$83,'P&amp;L.current'!$W$84,'P&amp;L.current'!$Y$84,'P&amp;L.current'!$AB$84,'P&amp;L.current'!$AF$84,'P&amp;L.current'!$AR$84</definedName>
    <definedName name="QB_FORMULA_76" localSheetId="12" hidden="1">'P&amp;L.prior'!#REF!,'P&amp;L.prior'!#REF!,'P&amp;L.prior'!$W$83,'P&amp;L.prior'!$Y$83,'P&amp;L.prior'!$AB$83,'P&amp;L.prior'!$AF$83,'P&amp;L.prior'!#REF!,'P&amp;L.prior'!#REF!,'P&amp;L.prior'!#REF!,'P&amp;L.prior'!#REF!,'P&amp;L.prior'!#REF!,'P&amp;L.prior'!$W$84,'P&amp;L.prior'!$Y$84,'P&amp;L.prior'!$AB$84,'P&amp;L.prior'!$AF$84,'P&amp;L.prior'!#REF!</definedName>
    <definedName name="QB_FORMULA_77" localSheetId="10" hidden="1">'BS by month'!#REF!,'BS by month'!#REF!,'BS by month'!#REF!,'BS by month'!#REF!,'BS by month'!$W$85,'BS by month'!$Y$85,'BS by month'!$AB$85,'BS by month'!$AF$85,'BS by month'!#REF!,'BS by month'!#REF!,'BS by month'!#REF!,'BS by month'!#REF!,'BS by month'!#REF!,'BS by month'!$W$86,'BS by month'!$Y$86,'BS by month'!$AB$86</definedName>
    <definedName name="QB_FORMULA_77" localSheetId="13" hidden="1">'P&amp;L.by month'!#REF!,'P&amp;L.by month'!#REF!,'P&amp;L.by month'!#REF!,'P&amp;L.by month'!#REF!,'P&amp;L.by month'!$W$85,'P&amp;L.by month'!$Y$85,'P&amp;L.by month'!$AB$85,'P&amp;L.by month'!$AF$85,'P&amp;L.by month'!#REF!,'P&amp;L.by month'!#REF!,'P&amp;L.by month'!#REF!,'P&amp;L.by month'!#REF!,'P&amp;L.by month'!#REF!,'P&amp;L.by month'!$W$86,'P&amp;L.by month'!$Y$86,'P&amp;L.by month'!$AB$86</definedName>
    <definedName name="QB_FORMULA_77" localSheetId="11" hidden="1">'P&amp;L.current'!$AX$84,'P&amp;L.current'!$AZ$84,'P&amp;L.current'!$BG$84,'P&amp;L.current'!$BI$84,'P&amp;L.current'!$W$85,'P&amp;L.current'!$Y$85,'P&amp;L.current'!$AB$85,'P&amp;L.current'!$AF$85,'P&amp;L.current'!$AR$85,'P&amp;L.current'!$AX$85,'P&amp;L.current'!$AZ$85,'P&amp;L.current'!$BG$85,'P&amp;L.current'!$BI$85,'P&amp;L.current'!$W$86,'P&amp;L.current'!$Y$86,'P&amp;L.current'!$AB$86</definedName>
    <definedName name="QB_FORMULA_77" localSheetId="12" hidden="1">'P&amp;L.prior'!#REF!,'P&amp;L.prior'!#REF!,'P&amp;L.prior'!#REF!,'P&amp;L.prior'!#REF!,'P&amp;L.prior'!$W$85,'P&amp;L.prior'!$Y$85,'P&amp;L.prior'!$AB$85,'P&amp;L.prior'!$AF$85,'P&amp;L.prior'!#REF!,'P&amp;L.prior'!#REF!,'P&amp;L.prior'!#REF!,'P&amp;L.prior'!#REF!,'P&amp;L.prior'!#REF!,'P&amp;L.prior'!$W$86,'P&amp;L.prior'!$Y$86,'P&amp;L.prior'!$AB$86</definedName>
    <definedName name="QB_FORMULA_78" localSheetId="10" hidden="1">'BS by month'!$AF$86,'BS by month'!#REF!,'BS by month'!#REF!,'BS by month'!#REF!,'BS by month'!#REF!,'BS by month'!#REF!,'BS by month'!$W$87,'BS by month'!$Y$87,'BS by month'!$AB$87,'BS by month'!$AF$87,'BS by month'!#REF!,'BS by month'!#REF!,'BS by month'!#REF!,'BS by month'!#REF!,'BS by month'!#REF!,'BS by month'!$W$88</definedName>
    <definedName name="QB_FORMULA_78" localSheetId="13" hidden="1">'P&amp;L.by month'!$AF$86,'P&amp;L.by month'!#REF!,'P&amp;L.by month'!#REF!,'P&amp;L.by month'!#REF!,'P&amp;L.by month'!#REF!,'P&amp;L.by month'!#REF!,'P&amp;L.by month'!$W$87,'P&amp;L.by month'!$Y$87,'P&amp;L.by month'!$AB$87,'P&amp;L.by month'!$AF$87,'P&amp;L.by month'!#REF!,'P&amp;L.by month'!#REF!,'P&amp;L.by month'!#REF!,'P&amp;L.by month'!#REF!,'P&amp;L.by month'!#REF!,'P&amp;L.by month'!$W$88</definedName>
    <definedName name="QB_FORMULA_78" localSheetId="11" hidden="1">'P&amp;L.current'!$AF$86,'P&amp;L.current'!$AR$86,'P&amp;L.current'!$AX$86,'P&amp;L.current'!$AZ$86,'P&amp;L.current'!$BG$86,'P&amp;L.current'!$BI$86,'P&amp;L.current'!$W$87,'P&amp;L.current'!$Y$87,'P&amp;L.current'!$AB$87,'P&amp;L.current'!$AF$87,'P&amp;L.current'!$AR$87,'P&amp;L.current'!$AX$87,'P&amp;L.current'!$AZ$87,'P&amp;L.current'!$BG$87,'P&amp;L.current'!$BI$87,'P&amp;L.current'!$W$88</definedName>
    <definedName name="QB_FORMULA_78" localSheetId="12" hidden="1">'P&amp;L.prior'!$AF$86,'P&amp;L.prior'!#REF!,'P&amp;L.prior'!#REF!,'P&amp;L.prior'!#REF!,'P&amp;L.prior'!#REF!,'P&amp;L.prior'!#REF!,'P&amp;L.prior'!$W$87,'P&amp;L.prior'!$Y$87,'P&amp;L.prior'!$AB$87,'P&amp;L.prior'!$AF$87,'P&amp;L.prior'!#REF!,'P&amp;L.prior'!#REF!,'P&amp;L.prior'!#REF!,'P&amp;L.prior'!#REF!,'P&amp;L.prior'!#REF!,'P&amp;L.prior'!$W$88</definedName>
    <definedName name="QB_FORMULA_79" localSheetId="10" hidden="1">'BS by month'!$Y$88,'BS by month'!$AB$88,'BS by month'!$AF$88,'BS by month'!#REF!,'BS by month'!#REF!,'BS by month'!#REF!,'BS by month'!#REF!,'BS by month'!#REF!,'BS by month'!$W$89,'BS by month'!$Y$89,'BS by month'!$AB$89,'BS by month'!$AF$89,'BS by month'!#REF!,'BS by month'!#REF!,'BS by month'!#REF!,'BS by month'!#REF!</definedName>
    <definedName name="QB_FORMULA_79" localSheetId="13" hidden="1">'P&amp;L.by month'!$Y$88,'P&amp;L.by month'!$AB$88,'P&amp;L.by month'!$AF$88,'P&amp;L.by month'!#REF!,'P&amp;L.by month'!#REF!,'P&amp;L.by month'!#REF!,'P&amp;L.by month'!#REF!,'P&amp;L.by month'!#REF!,'P&amp;L.by month'!$W$89,'P&amp;L.by month'!$Y$89,'P&amp;L.by month'!$AB$89,'P&amp;L.by month'!$AF$89,'P&amp;L.by month'!#REF!,'P&amp;L.by month'!#REF!,'P&amp;L.by month'!#REF!,'P&amp;L.by month'!#REF!</definedName>
    <definedName name="QB_FORMULA_79" localSheetId="11" hidden="1">'P&amp;L.current'!$Y$88,'P&amp;L.current'!$AB$88,'P&amp;L.current'!$AF$88,'P&amp;L.current'!$AR$88,'P&amp;L.current'!$AX$88,'P&amp;L.current'!$AZ$88,'P&amp;L.current'!$BG$88,'P&amp;L.current'!$BI$88,'P&amp;L.current'!$W$89,'P&amp;L.current'!$Y$89,'P&amp;L.current'!$AB$89,'P&amp;L.current'!$AF$89,'P&amp;L.current'!$AR$89,'P&amp;L.current'!$AX$89,'P&amp;L.current'!$AZ$89,'P&amp;L.current'!$BG$89</definedName>
    <definedName name="QB_FORMULA_79" localSheetId="12" hidden="1">'P&amp;L.prior'!$Y$88,'P&amp;L.prior'!$AB$88,'P&amp;L.prior'!$AF$88,'P&amp;L.prior'!#REF!,'P&amp;L.prior'!#REF!,'P&amp;L.prior'!#REF!,'P&amp;L.prior'!#REF!,'P&amp;L.prior'!#REF!,'P&amp;L.prior'!$W$89,'P&amp;L.prior'!$Y$89,'P&amp;L.prior'!$AB$89,'P&amp;L.prior'!$AF$89,'P&amp;L.prior'!#REF!,'P&amp;L.prior'!#REF!,'P&amp;L.prior'!#REF!,'P&amp;L.prior'!#REF!</definedName>
    <definedName name="QB_FORMULA_8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8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8" localSheetId="11" hidden="1">'P&amp;L.current'!$AM$14,'P&amp;L.current'!$AN$14,'P&amp;L.current'!$AO$14,'P&amp;L.current'!$AP$14,'P&amp;L.current'!$AQ$14,'P&amp;L.current'!$AR$14,'P&amp;L.current'!$AS$14,'P&amp;L.current'!$AT$14,'P&amp;L.current'!$AU$14,'P&amp;L.current'!$AV$14,'P&amp;L.current'!$AW$14,'P&amp;L.current'!$AX$14,'P&amp;L.current'!$AY$14,'P&amp;L.current'!$AZ$14,'P&amp;L.current'!$BA$14,'P&amp;L.current'!$BB$14</definedName>
    <definedName name="QB_FORMULA_8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80" localSheetId="10" hidden="1">'BS by month'!#REF!,'BS by month'!$I$90,'BS by month'!$J$90,'BS by month'!$K$90,'BS by month'!$L$90,'BS by month'!$M$90,'BS by month'!$N$90,'BS by month'!$O$90,'BS by month'!$P$90,'BS by month'!$Q$90,'BS by month'!$R$90,'BS by month'!$S$90,'BS by month'!$T$90,'BS by month'!$U$90,'BS by month'!$V$90,'BS by month'!$W$90</definedName>
    <definedName name="QB_FORMULA_80" localSheetId="13" hidden="1">'P&amp;L.by month'!#REF!,'P&amp;L.by month'!$I$90,'P&amp;L.by month'!$J$90,'P&amp;L.by month'!$K$90,'P&amp;L.by month'!$L$90,'P&amp;L.by month'!$M$90,'P&amp;L.by month'!$N$90,'P&amp;L.by month'!$O$90,'P&amp;L.by month'!$P$90,'P&amp;L.by month'!$Q$90,'P&amp;L.by month'!$R$90,'P&amp;L.by month'!$S$90,'P&amp;L.by month'!$T$90,'P&amp;L.by month'!$U$90,'P&amp;L.by month'!$V$90,'P&amp;L.by month'!$W$90</definedName>
    <definedName name="QB_FORMULA_80" localSheetId="11" hidden="1">'P&amp;L.current'!$BI$89,'P&amp;L.current'!$I$90,'P&amp;L.current'!$J$90,'P&amp;L.current'!$K$90,'P&amp;L.current'!$L$90,'P&amp;L.current'!$M$90,'P&amp;L.current'!$N$90,'P&amp;L.current'!$O$90,'P&amp;L.current'!$P$90,'P&amp;L.current'!$Q$90,'P&amp;L.current'!$R$90,'P&amp;L.current'!$S$90,'P&amp;L.current'!$T$90,'P&amp;L.current'!$U$90,'P&amp;L.current'!$V$90,'P&amp;L.current'!$W$90</definedName>
    <definedName name="QB_FORMULA_80" localSheetId="12" hidden="1">'P&amp;L.prior'!#REF!,'P&amp;L.prior'!$I$90,'P&amp;L.prior'!$J$90,'P&amp;L.prior'!$K$90,'P&amp;L.prior'!$L$90,'P&amp;L.prior'!$M$90,'P&amp;L.prior'!$N$90,'P&amp;L.prior'!$O$90,'P&amp;L.prior'!$P$90,'P&amp;L.prior'!$Q$90,'P&amp;L.prior'!$R$90,'P&amp;L.prior'!$S$90,'P&amp;L.prior'!$T$90,'P&amp;L.prior'!$U$90,'P&amp;L.prior'!$V$90,'P&amp;L.prior'!$W$90</definedName>
    <definedName name="QB_FORMULA_81" localSheetId="10" hidden="1">'BS by month'!$X$90,'BS by month'!$Y$90,'BS by month'!$Z$90,'BS by month'!$AA$90,'BS by month'!$AB$90,'BS by month'!$AC$90,'BS by month'!$AD$90,'BS by month'!$AE$90,'BS by month'!$AF$90,'BS by month'!$AG$90,'BS by month'!$AH$90,'BS by month'!$AI$90,'BS by month'!$AJ$90,'BS by month'!$AK$90,'BS by month'!$AL$90,'BS by month'!#REF!</definedName>
    <definedName name="QB_FORMULA_81" localSheetId="13" hidden="1">'P&amp;L.by month'!$X$90,'P&amp;L.by month'!$Y$90,'P&amp;L.by month'!$Z$90,'P&amp;L.by month'!$AA$90,'P&amp;L.by month'!$AB$90,'P&amp;L.by month'!$AC$90,'P&amp;L.by month'!$AD$90,'P&amp;L.by month'!$AE$90,'P&amp;L.by month'!$AF$90,'P&amp;L.by month'!$AG$90,'P&amp;L.by month'!$AH$90,'P&amp;L.by month'!$AI$90,'P&amp;L.by month'!$AJ$90,'P&amp;L.by month'!$AK$90,'P&amp;L.by month'!$AL$90,'P&amp;L.by month'!#REF!</definedName>
    <definedName name="QB_FORMULA_81" localSheetId="11" hidden="1">'P&amp;L.current'!$X$90,'P&amp;L.current'!$Y$90,'P&amp;L.current'!$Z$90,'P&amp;L.current'!$AA$90,'P&amp;L.current'!$AB$90,'P&amp;L.current'!$AC$90,'P&amp;L.current'!$AD$90,'P&amp;L.current'!$AE$90,'P&amp;L.current'!$AF$90,'P&amp;L.current'!$AG$90,'P&amp;L.current'!$AH$90,'P&amp;L.current'!$AI$90,'P&amp;L.current'!$AJ$90,'P&amp;L.current'!$AK$90,'P&amp;L.current'!$AL$90,'P&amp;L.current'!$AM$90</definedName>
    <definedName name="QB_FORMULA_81" localSheetId="12" hidden="1">'P&amp;L.prior'!$X$90,'P&amp;L.prior'!$Y$90,'P&amp;L.prior'!$Z$90,'P&amp;L.prior'!$AA$90,'P&amp;L.prior'!$AB$90,'P&amp;L.prior'!$AC$90,'P&amp;L.prior'!$AD$90,'P&amp;L.prior'!$AE$90,'P&amp;L.prior'!$AF$90,'P&amp;L.prior'!$AG$90,'P&amp;L.prior'!$AH$90,'P&amp;L.prior'!$AI$90,'P&amp;L.prior'!$AJ$90,'P&amp;L.prior'!$AK$90,'P&amp;L.prior'!$AL$90,'P&amp;L.prior'!#REF!</definedName>
    <definedName name="QB_FORMULA_82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82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82" localSheetId="11" hidden="1">'P&amp;L.current'!$AN$90,'P&amp;L.current'!$AO$90,'P&amp;L.current'!$AP$90,'P&amp;L.current'!$AQ$90,'P&amp;L.current'!$AR$90,'P&amp;L.current'!$AS$90,'P&amp;L.current'!$AT$90,'P&amp;L.current'!$AU$90,'P&amp;L.current'!$AV$90,'P&amp;L.current'!$AW$90,'P&amp;L.current'!$AX$90,'P&amp;L.current'!$AY$90,'P&amp;L.current'!$AZ$90,'P&amp;L.current'!$BA$90,'P&amp;L.current'!$BB$90,'P&amp;L.current'!$BC$90</definedName>
    <definedName name="QB_FORMULA_82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83" localSheetId="10" hidden="1">'BS by month'!#REF!,'BS by month'!#REF!,'BS by month'!#REF!,'BS by month'!#REF!,'BS by month'!#REF!,'BS by month'!#REF!,'BS by month'!$W$92,'BS by month'!$Y$92,'BS by month'!$AB$92,'BS by month'!$AF$92,'BS by month'!#REF!,'BS by month'!#REF!,'BS by month'!#REF!,'BS by month'!#REF!,'BS by month'!#REF!,'BS by month'!$W$93</definedName>
    <definedName name="QB_FORMULA_83" localSheetId="13" hidden="1">'P&amp;L.by month'!#REF!,'P&amp;L.by month'!#REF!,'P&amp;L.by month'!#REF!,'P&amp;L.by month'!#REF!,'P&amp;L.by month'!#REF!,'P&amp;L.by month'!#REF!,'P&amp;L.by month'!$W$92,'P&amp;L.by month'!$Y$92,'P&amp;L.by month'!$AB$92,'P&amp;L.by month'!$AF$92,'P&amp;L.by month'!#REF!,'P&amp;L.by month'!#REF!,'P&amp;L.by month'!#REF!,'P&amp;L.by month'!#REF!,'P&amp;L.by month'!#REF!,'P&amp;L.by month'!$W$93</definedName>
    <definedName name="QB_FORMULA_83" localSheetId="11" hidden="1">'P&amp;L.current'!$BD$90,'P&amp;L.current'!$BE$90,'P&amp;L.current'!$BF$90,'P&amp;L.current'!$BG$90,'P&amp;L.current'!$BH$90,'P&amp;L.current'!$BI$90,'P&amp;L.current'!$W$92,'P&amp;L.current'!$Y$92,'P&amp;L.current'!$AB$92,'P&amp;L.current'!$AF$92,'P&amp;L.current'!$AR$92,'P&amp;L.current'!$AX$92,'P&amp;L.current'!$AZ$92,'P&amp;L.current'!$BG$92,'P&amp;L.current'!$BI$92,'P&amp;L.current'!$W$93</definedName>
    <definedName name="QB_FORMULA_83" localSheetId="12" hidden="1">'P&amp;L.prior'!#REF!,'P&amp;L.prior'!#REF!,'P&amp;L.prior'!#REF!,'P&amp;L.prior'!#REF!,'P&amp;L.prior'!#REF!,'P&amp;L.prior'!#REF!,'P&amp;L.prior'!$W$92,'P&amp;L.prior'!$Y$92,'P&amp;L.prior'!$AB$92,'P&amp;L.prior'!$AF$92,'P&amp;L.prior'!#REF!,'P&amp;L.prior'!#REF!,'P&amp;L.prior'!#REF!,'P&amp;L.prior'!#REF!,'P&amp;L.prior'!#REF!,'P&amp;L.prior'!$W$93</definedName>
    <definedName name="QB_FORMULA_84" localSheetId="10" hidden="1">'BS by month'!$Y$93,'BS by month'!$AB$93,'BS by month'!$AF$93,'BS by month'!#REF!,'BS by month'!#REF!,'BS by month'!#REF!,'BS by month'!#REF!,'BS by month'!#REF!,'BS by month'!$I$94,'BS by month'!$J$94,'BS by month'!$K$94,'BS by month'!$L$94,'BS by month'!$M$94,'BS by month'!$N$94,'BS by month'!$O$94,'BS by month'!$P$94</definedName>
    <definedName name="QB_FORMULA_84" localSheetId="13" hidden="1">'P&amp;L.by month'!$Y$93,'P&amp;L.by month'!$AB$93,'P&amp;L.by month'!$AF$93,'P&amp;L.by month'!#REF!,'P&amp;L.by month'!#REF!,'P&amp;L.by month'!#REF!,'P&amp;L.by month'!#REF!,'P&amp;L.by month'!#REF!,'P&amp;L.by month'!$I$94,'P&amp;L.by month'!$J$94,'P&amp;L.by month'!$K$94,'P&amp;L.by month'!$L$94,'P&amp;L.by month'!$M$94,'P&amp;L.by month'!$N$94,'P&amp;L.by month'!$O$94,'P&amp;L.by month'!$P$94</definedName>
    <definedName name="QB_FORMULA_84" localSheetId="11" hidden="1">'P&amp;L.current'!$Y$93,'P&amp;L.current'!$AB$93,'P&amp;L.current'!$AF$93,'P&amp;L.current'!$AR$93,'P&amp;L.current'!$AX$93,'P&amp;L.current'!$AZ$93,'P&amp;L.current'!$BG$93,'P&amp;L.current'!$BI$93,'P&amp;L.current'!$I$94,'P&amp;L.current'!$J$94,'P&amp;L.current'!$K$94,'P&amp;L.current'!$L$94,'P&amp;L.current'!$M$94,'P&amp;L.current'!$N$94,'P&amp;L.current'!$O$94,'P&amp;L.current'!$P$94</definedName>
    <definedName name="QB_FORMULA_84" localSheetId="12" hidden="1">'P&amp;L.prior'!$Y$93,'P&amp;L.prior'!$AB$93,'P&amp;L.prior'!$AF$93,'P&amp;L.prior'!#REF!,'P&amp;L.prior'!#REF!,'P&amp;L.prior'!#REF!,'P&amp;L.prior'!#REF!,'P&amp;L.prior'!#REF!,'P&amp;L.prior'!$I$94,'P&amp;L.prior'!$J$94,'P&amp;L.prior'!$K$94,'P&amp;L.prior'!$L$94,'P&amp;L.prior'!$M$94,'P&amp;L.prior'!$N$94,'P&amp;L.prior'!$O$94,'P&amp;L.prior'!$P$94</definedName>
    <definedName name="QB_FORMULA_85" localSheetId="10" hidden="1">'BS by month'!$Q$94,'BS by month'!$R$94,'BS by month'!$S$94,'BS by month'!$T$94,'BS by month'!$U$94,'BS by month'!$V$94,'BS by month'!$W$94,'BS by month'!$X$94,'BS by month'!$Y$94,'BS by month'!$Z$94,'BS by month'!$AA$94,'BS by month'!$AB$94,'BS by month'!$AC$94,'BS by month'!$AD$94,'BS by month'!$AE$94,'BS by month'!$AF$94</definedName>
    <definedName name="QB_FORMULA_85" localSheetId="13" hidden="1">'P&amp;L.by month'!$Q$94,'P&amp;L.by month'!$R$94,'P&amp;L.by month'!$S$94,'P&amp;L.by month'!$T$94,'P&amp;L.by month'!$U$94,'P&amp;L.by month'!$V$94,'P&amp;L.by month'!$W$94,'P&amp;L.by month'!$X$94,'P&amp;L.by month'!$Y$94,'P&amp;L.by month'!$Z$94,'P&amp;L.by month'!$AA$94,'P&amp;L.by month'!$AB$94,'P&amp;L.by month'!$AC$94,'P&amp;L.by month'!$AD$94,'P&amp;L.by month'!$AE$94,'P&amp;L.by month'!$AF$94</definedName>
    <definedName name="QB_FORMULA_85" localSheetId="11" hidden="1">'P&amp;L.current'!$Q$94,'P&amp;L.current'!$R$94,'P&amp;L.current'!$S$94,'P&amp;L.current'!$T$94,'P&amp;L.current'!$U$94,'P&amp;L.current'!$V$94,'P&amp;L.current'!$W$94,'P&amp;L.current'!$X$94,'P&amp;L.current'!$Y$94,'P&amp;L.current'!$Z$94,'P&amp;L.current'!$AA$94,'P&amp;L.current'!$AB$94,'P&amp;L.current'!$AC$94,'P&amp;L.current'!$AD$94,'P&amp;L.current'!$AE$94,'P&amp;L.current'!$AF$94</definedName>
    <definedName name="QB_FORMULA_85" localSheetId="12" hidden="1">'P&amp;L.prior'!$Q$94,'P&amp;L.prior'!$R$94,'P&amp;L.prior'!$S$94,'P&amp;L.prior'!$T$94,'P&amp;L.prior'!$U$94,'P&amp;L.prior'!$V$94,'P&amp;L.prior'!$W$94,'P&amp;L.prior'!$X$94,'P&amp;L.prior'!$Y$94,'P&amp;L.prior'!$Z$94,'P&amp;L.prior'!$AA$94,'P&amp;L.prior'!$AB$94,'P&amp;L.prior'!$AC$94,'P&amp;L.prior'!$AD$94,'P&amp;L.prior'!$AE$94,'P&amp;L.prior'!$AF$94</definedName>
    <definedName name="QB_FORMULA_86" localSheetId="10" hidden="1">'BS by month'!$AG$94,'BS by month'!$AH$94,'BS by month'!$AI$94,'BS by month'!$AJ$94,'BS by month'!$AK$94,'BS by month'!$AL$94,'BS by month'!#REF!,'BS by month'!#REF!,'BS by month'!#REF!,'BS by month'!#REF!,'BS by month'!#REF!,'BS by month'!#REF!,'BS by month'!#REF!,'BS by month'!#REF!,'BS by month'!#REF!,'BS by month'!#REF!</definedName>
    <definedName name="QB_FORMULA_86" localSheetId="13" hidden="1">'P&amp;L.by month'!$AG$94,'P&amp;L.by month'!$AH$94,'P&amp;L.by month'!$AI$94,'P&amp;L.by month'!$AJ$94,'P&amp;L.by month'!$AK$94,'P&amp;L.by month'!$AL$94,'P&amp;L.by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86" localSheetId="11" hidden="1">'P&amp;L.current'!$AG$94,'P&amp;L.current'!$AH$94,'P&amp;L.current'!$AI$94,'P&amp;L.current'!$AJ$94,'P&amp;L.current'!$AK$94,'P&amp;L.current'!$AL$94,'P&amp;L.current'!$AM$94,'P&amp;L.current'!$AN$94,'P&amp;L.current'!$AO$94,'P&amp;L.current'!$AP$94,'P&amp;L.current'!$AQ$94,'P&amp;L.current'!$AR$94,'P&amp;L.current'!$AS$94,'P&amp;L.current'!$AT$94,'P&amp;L.current'!$AU$94,'P&amp;L.current'!$AV$94</definedName>
    <definedName name="QB_FORMULA_86" localSheetId="12" hidden="1">'P&amp;L.prior'!$AG$94,'P&amp;L.prior'!$AH$94,'P&amp;L.prior'!$AI$94,'P&amp;L.prior'!$AJ$94,'P&amp;L.prior'!$AK$94,'P&amp;L.prior'!$AL$94,'P&amp;L.prior'!#REF!,'P&amp;L.prior'!#REF!,'P&amp;L.prior'!#REF!,'P&amp;L.prior'!#REF!,'P&amp;L.prior'!#REF!,'P&amp;L.prior'!#REF!,'P&amp;L.prior'!#REF!,'P&amp;L.prior'!#REF!,'P&amp;L.prior'!#REF!,'P&amp;L.prior'!#REF!</definedName>
    <definedName name="QB_FORMULA_87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month'!$W$96,'BS by month'!$Y$96,'BS by month'!$AB$96</definedName>
    <definedName name="QB_FORMULA_87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month'!$W$96,'P&amp;L.by month'!$Y$96,'P&amp;L.by month'!$AB$96</definedName>
    <definedName name="QB_FORMULA_87" localSheetId="11" hidden="1">'P&amp;L.current'!$AW$94,'P&amp;L.current'!$AX$94,'P&amp;L.current'!$AY$94,'P&amp;L.current'!$AZ$94,'P&amp;L.current'!$BA$94,'P&amp;L.current'!$BB$94,'P&amp;L.current'!$BC$94,'P&amp;L.current'!$BD$94,'P&amp;L.current'!$BE$94,'P&amp;L.current'!$BF$94,'P&amp;L.current'!$BG$94,'P&amp;L.current'!$BH$94,'P&amp;L.current'!$BI$94,'P&amp;L.current'!$W$96,'P&amp;L.current'!$Y$96,'P&amp;L.current'!$AB$96</definedName>
    <definedName name="QB_FORMULA_87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$W$96,'P&amp;L.prior'!$Y$96,'P&amp;L.prior'!$AB$96</definedName>
    <definedName name="QB_FORMULA_88" localSheetId="10" hidden="1">'BS by month'!$AF$96,'BS by month'!#REF!,'BS by month'!#REF!,'BS by month'!#REF!,'BS by month'!#REF!,'BS by month'!#REF!,'BS by month'!$W$97,'BS by month'!$Y$97,'BS by month'!$AB$97,'BS by month'!$AF$97,'BS by month'!#REF!,'BS by month'!#REF!,'BS by month'!#REF!,'BS by month'!#REF!,'BS by month'!#REF!,'BS by month'!$W$98</definedName>
    <definedName name="QB_FORMULA_88" localSheetId="13" hidden="1">'P&amp;L.by month'!$AF$96,'P&amp;L.by month'!#REF!,'P&amp;L.by month'!#REF!,'P&amp;L.by month'!#REF!,'P&amp;L.by month'!#REF!,'P&amp;L.by month'!#REF!,'P&amp;L.by month'!$W$97,'P&amp;L.by month'!$Y$97,'P&amp;L.by month'!$AB$97,'P&amp;L.by month'!$AF$97,'P&amp;L.by month'!#REF!,'P&amp;L.by month'!#REF!,'P&amp;L.by month'!#REF!,'P&amp;L.by month'!#REF!,'P&amp;L.by month'!#REF!,'P&amp;L.by month'!$W$98</definedName>
    <definedName name="QB_FORMULA_88" localSheetId="11" hidden="1">'P&amp;L.current'!$AF$96,'P&amp;L.current'!$AR$96,'P&amp;L.current'!$AX$96,'P&amp;L.current'!$AZ$96,'P&amp;L.current'!$BG$96,'P&amp;L.current'!$BI$96,'P&amp;L.current'!$W$97,'P&amp;L.current'!$Y$97,'P&amp;L.current'!$AB$97,'P&amp;L.current'!$AF$97,'P&amp;L.current'!$AR$97,'P&amp;L.current'!$AX$97,'P&amp;L.current'!$AZ$97,'P&amp;L.current'!$BG$97,'P&amp;L.current'!$BI$97,'P&amp;L.current'!$W$98</definedName>
    <definedName name="QB_FORMULA_88" localSheetId="12" hidden="1">'P&amp;L.prior'!$AF$96,'P&amp;L.prior'!#REF!,'P&amp;L.prior'!#REF!,'P&amp;L.prior'!#REF!,'P&amp;L.prior'!#REF!,'P&amp;L.prior'!#REF!,'P&amp;L.prior'!$W$97,'P&amp;L.prior'!$Y$97,'P&amp;L.prior'!$AB$97,'P&amp;L.prior'!$AF$97,'P&amp;L.prior'!#REF!,'P&amp;L.prior'!#REF!,'P&amp;L.prior'!#REF!,'P&amp;L.prior'!#REF!,'P&amp;L.prior'!#REF!,'P&amp;L.prior'!$W$98</definedName>
    <definedName name="QB_FORMULA_89" localSheetId="10" hidden="1">'BS by month'!$Y$98,'BS by month'!$AB$98,'BS by month'!$AF$98,'BS by month'!#REF!,'BS by month'!#REF!,'BS by month'!#REF!,'BS by month'!#REF!,'BS by month'!#REF!,'BS by month'!$W$99,'BS by month'!$Y$99,'BS by month'!$AB$99,'BS by month'!$AF$99,'BS by month'!#REF!,'BS by month'!#REF!,'BS by month'!#REF!,'BS by month'!#REF!</definedName>
    <definedName name="QB_FORMULA_89" localSheetId="13" hidden="1">'P&amp;L.by month'!$Y$98,'P&amp;L.by month'!$AB$98,'P&amp;L.by month'!$AF$98,'P&amp;L.by month'!#REF!,'P&amp;L.by month'!#REF!,'P&amp;L.by month'!#REF!,'P&amp;L.by month'!#REF!,'P&amp;L.by month'!#REF!,'P&amp;L.by month'!$W$99,'P&amp;L.by month'!$Y$99,'P&amp;L.by month'!$AB$99,'P&amp;L.by month'!$AF$99,'P&amp;L.by month'!#REF!,'P&amp;L.by month'!#REF!,'P&amp;L.by month'!#REF!,'P&amp;L.by month'!#REF!</definedName>
    <definedName name="QB_FORMULA_89" localSheetId="11" hidden="1">'P&amp;L.current'!$Y$98,'P&amp;L.current'!$AB$98,'P&amp;L.current'!$AF$98,'P&amp;L.current'!$AR$98,'P&amp;L.current'!$AX$98,'P&amp;L.current'!$AZ$98,'P&amp;L.current'!$BG$98,'P&amp;L.current'!$BI$98,'P&amp;L.current'!$W$99,'P&amp;L.current'!$Y$99,'P&amp;L.current'!$AB$99,'P&amp;L.current'!$AF$99,'P&amp;L.current'!$AR$99,'P&amp;L.current'!$AX$99,'P&amp;L.current'!$AZ$99,'P&amp;L.current'!$BG$99</definedName>
    <definedName name="QB_FORMULA_89" localSheetId="12" hidden="1">'P&amp;L.prior'!$Y$98,'P&amp;L.prior'!$AB$98,'P&amp;L.prior'!$AF$98,'P&amp;L.prior'!#REF!,'P&amp;L.prior'!#REF!,'P&amp;L.prior'!#REF!,'P&amp;L.prior'!#REF!,'P&amp;L.prior'!#REF!,'P&amp;L.prior'!$W$99,'P&amp;L.prior'!$Y$99,'P&amp;L.prior'!$AB$99,'P&amp;L.prior'!$AF$99,'P&amp;L.prior'!#REF!,'P&amp;L.prior'!#REF!,'P&amp;L.prior'!#REF!,'P&amp;L.prior'!#REF!</definedName>
    <definedName name="QB_FORMULA_9" localSheetId="10" hidden="1">'BS by month'!#REF!,'BS by month'!#REF!,'BS by month'!#REF!,'BS by month'!#REF!,'BS by month'!#REF!,'BS by month'!#REF!,'BS by month'!#REF!,'BS by month'!$W$15,'BS by month'!$Y$15,'BS by month'!$AB$15,'BS by month'!$AF$15,'BS by month'!#REF!,'BS by month'!#REF!,'BS by month'!#REF!,'BS by month'!#REF!,'BS by month'!#REF!</definedName>
    <definedName name="QB_FORMULA_9" localSheetId="13" hidden="1">'P&amp;L.by month'!#REF!,'P&amp;L.by month'!#REF!,'P&amp;L.by month'!#REF!,'P&amp;L.by month'!#REF!,'P&amp;L.by month'!#REF!,'P&amp;L.by month'!#REF!,'P&amp;L.by month'!#REF!,'P&amp;L.by month'!$W$15,'P&amp;L.by month'!$Y$15,'P&amp;L.by month'!$AB$15,'P&amp;L.by month'!$AF$15,'P&amp;L.by month'!#REF!,'P&amp;L.by month'!#REF!,'P&amp;L.by month'!#REF!,'P&amp;L.by month'!#REF!,'P&amp;L.by month'!#REF!</definedName>
    <definedName name="QB_FORMULA_9" localSheetId="11" hidden="1">'P&amp;L.current'!$BC$14,'P&amp;L.current'!$BD$14,'P&amp;L.current'!$BE$14,'P&amp;L.current'!$BF$14,'P&amp;L.current'!$BG$14,'P&amp;L.current'!$BH$14,'P&amp;L.current'!$BI$14,'P&amp;L.current'!$W$15,'P&amp;L.current'!$Y$15,'P&amp;L.current'!$AB$15,'P&amp;L.current'!$AF$15,'P&amp;L.current'!$AR$15,'P&amp;L.current'!$AX$15,'P&amp;L.current'!$AZ$15,'P&amp;L.current'!$BG$15,'P&amp;L.current'!$BI$15</definedName>
    <definedName name="QB_FORMULA_9" localSheetId="12" hidden="1">'P&amp;L.prior'!#REF!,'P&amp;L.prior'!#REF!,'P&amp;L.prior'!#REF!,'P&amp;L.prior'!#REF!,'P&amp;L.prior'!#REF!,'P&amp;L.prior'!#REF!,'P&amp;L.prior'!#REF!,'P&amp;L.prior'!$W$15,'P&amp;L.prior'!$Y$15,'P&amp;L.prior'!$AB$15,'P&amp;L.prior'!$AF$15,'P&amp;L.prior'!#REF!,'P&amp;L.prior'!#REF!,'P&amp;L.prior'!#REF!,'P&amp;L.prior'!#REF!,'P&amp;L.prior'!#REF!</definedName>
    <definedName name="QB_FORMULA_90" localSheetId="10" hidden="1">'BS by month'!#REF!,'BS by month'!$I$100,'BS by month'!$J$100,'BS by month'!$K$100,'BS by month'!$L$100,'BS by month'!$M$100,'BS by month'!$N$100,'BS by month'!$O$100,'BS by month'!$P$100,'BS by month'!$Q$100,'BS by month'!$R$100,'BS by month'!$S$100,'BS by month'!$T$100,'BS by month'!$U$100,'BS by month'!$V$100,'BS by month'!$W$100</definedName>
    <definedName name="QB_FORMULA_90" localSheetId="13" hidden="1">'P&amp;L.by month'!#REF!,'P&amp;L.by month'!$I$100,'P&amp;L.by month'!$J$100,'P&amp;L.by month'!$K$100,'P&amp;L.by month'!$L$100,'P&amp;L.by month'!$M$100,'P&amp;L.by month'!$N$100,'P&amp;L.by month'!$O$100,'P&amp;L.by month'!$P$100,'P&amp;L.by month'!$Q$100,'P&amp;L.by month'!$R$100,'P&amp;L.by month'!$S$100,'P&amp;L.by month'!$T$100,'P&amp;L.by month'!$U$100,'P&amp;L.by month'!$V$100,'P&amp;L.by month'!$W$100</definedName>
    <definedName name="QB_FORMULA_90" localSheetId="11" hidden="1">'P&amp;L.current'!$BI$99,'P&amp;L.current'!$I$100,'P&amp;L.current'!$J$100,'P&amp;L.current'!$K$100,'P&amp;L.current'!$L$100,'P&amp;L.current'!$M$100,'P&amp;L.current'!$N$100,'P&amp;L.current'!$O$100,'P&amp;L.current'!$P$100,'P&amp;L.current'!$Q$100,'P&amp;L.current'!$R$100,'P&amp;L.current'!$S$100,'P&amp;L.current'!$T$100,'P&amp;L.current'!$U$100,'P&amp;L.current'!$V$100,'P&amp;L.current'!$W$100</definedName>
    <definedName name="QB_FORMULA_90" localSheetId="12" hidden="1">'P&amp;L.prior'!#REF!,'P&amp;L.prior'!$I$100,'P&amp;L.prior'!$J$100,'P&amp;L.prior'!$K$100,'P&amp;L.prior'!$L$100,'P&amp;L.prior'!$M$100,'P&amp;L.prior'!$N$100,'P&amp;L.prior'!$O$100,'P&amp;L.prior'!$P$100,'P&amp;L.prior'!$Q$100,'P&amp;L.prior'!$R$100,'P&amp;L.prior'!$S$100,'P&amp;L.prior'!$T$100,'P&amp;L.prior'!$U$100,'P&amp;L.prior'!$V$100,'P&amp;L.prior'!$W$100</definedName>
    <definedName name="QB_FORMULA_91" localSheetId="10" hidden="1">'BS by month'!$X$100,'BS by month'!$Y$100,'BS by month'!$Z$100,'BS by month'!$AA$100,'BS by month'!$AB$100,'BS by month'!$AC$100,'BS by month'!$AD$100,'BS by month'!$AE$100,'BS by month'!$AF$100,'BS by month'!$AG$100,'BS by month'!$AH$100,'BS by month'!$AI$100,'BS by month'!$AJ$100,'BS by month'!$AK$100,'BS by month'!$AL$100,'BS by month'!#REF!</definedName>
    <definedName name="QB_FORMULA_91" localSheetId="13" hidden="1">'P&amp;L.by month'!$X$100,'P&amp;L.by month'!$Y$100,'P&amp;L.by month'!$Z$100,'P&amp;L.by month'!$AA$100,'P&amp;L.by month'!$AB$100,'P&amp;L.by month'!$AC$100,'P&amp;L.by month'!$AD$100,'P&amp;L.by month'!$AE$100,'P&amp;L.by month'!$AF$100,'P&amp;L.by month'!$AG$100,'P&amp;L.by month'!$AH$100,'P&amp;L.by month'!$AI$100,'P&amp;L.by month'!$AJ$100,'P&amp;L.by month'!$AK$100,'P&amp;L.by month'!$AL$100,'P&amp;L.by month'!#REF!</definedName>
    <definedName name="QB_FORMULA_91" localSheetId="11" hidden="1">'P&amp;L.current'!$X$100,'P&amp;L.current'!$Y$100,'P&amp;L.current'!$Z$100,'P&amp;L.current'!$AA$100,'P&amp;L.current'!$AB$100,'P&amp;L.current'!$AC$100,'P&amp;L.current'!$AD$100,'P&amp;L.current'!$AE$100,'P&amp;L.current'!$AF$100,'P&amp;L.current'!$AG$100,'P&amp;L.current'!$AH$100,'P&amp;L.current'!$AI$100,'P&amp;L.current'!$AJ$100,'P&amp;L.current'!$AK$100,'P&amp;L.current'!$AL$100,'P&amp;L.current'!$AM$100</definedName>
    <definedName name="QB_FORMULA_91" localSheetId="12" hidden="1">'P&amp;L.prior'!$X$100,'P&amp;L.prior'!$Y$100,'P&amp;L.prior'!$Z$100,'P&amp;L.prior'!$AA$100,'P&amp;L.prior'!$AB$100,'P&amp;L.prior'!$AC$100,'P&amp;L.prior'!$AD$100,'P&amp;L.prior'!$AE$100,'P&amp;L.prior'!$AF$100,'P&amp;L.prior'!$AG$100,'P&amp;L.prior'!$AH$100,'P&amp;L.prior'!$AI$100,'P&amp;L.prior'!$AJ$100,'P&amp;L.prior'!$AK$100,'P&amp;L.prior'!$AL$100,'P&amp;L.prior'!#REF!</definedName>
    <definedName name="QB_FORMULA_92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</definedName>
    <definedName name="QB_FORMULA_92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</definedName>
    <definedName name="QB_FORMULA_92" localSheetId="11" hidden="1">'P&amp;L.current'!$AN$100,'P&amp;L.current'!$AO$100,'P&amp;L.current'!$AP$100,'P&amp;L.current'!$AQ$100,'P&amp;L.current'!$AR$100,'P&amp;L.current'!$AS$100,'P&amp;L.current'!$AT$100,'P&amp;L.current'!$AU$100,'P&amp;L.current'!$AV$100,'P&amp;L.current'!$AW$100,'P&amp;L.current'!$AX$100,'P&amp;L.current'!$AY$100,'P&amp;L.current'!$AZ$100,'P&amp;L.current'!$BA$100,'P&amp;L.current'!$BB$100,'P&amp;L.current'!$BC$100</definedName>
    <definedName name="QB_FORMULA_92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</definedName>
    <definedName name="QB_FORMULA_93" localSheetId="10" hidden="1">'BS by month'!#REF!,'BS by month'!#REF!,'BS by month'!#REF!,'BS by month'!#REF!,'BS by month'!#REF!,'BS by month'!#REF!,'BS by month'!$W$102,'BS by month'!$Y$102,'BS by month'!$AB$102,'BS by month'!$AF$102,'BS by month'!#REF!,'BS by month'!#REF!,'BS by month'!#REF!,'BS by month'!#REF!,'BS by month'!#REF!,'BS by month'!$W$103</definedName>
    <definedName name="QB_FORMULA_93" localSheetId="13" hidden="1">'P&amp;L.by month'!#REF!,'P&amp;L.by month'!#REF!,'P&amp;L.by month'!#REF!,'P&amp;L.by month'!#REF!,'P&amp;L.by month'!#REF!,'P&amp;L.by month'!#REF!,'P&amp;L.by month'!$W$102,'P&amp;L.by month'!$Y$102,'P&amp;L.by month'!$AB$102,'P&amp;L.by month'!$AF$102,'P&amp;L.by month'!#REF!,'P&amp;L.by month'!#REF!,'P&amp;L.by month'!#REF!,'P&amp;L.by month'!#REF!,'P&amp;L.by month'!#REF!,'P&amp;L.by month'!$W$103</definedName>
    <definedName name="QB_FORMULA_93" localSheetId="11" hidden="1">'P&amp;L.current'!$BD$100,'P&amp;L.current'!$BE$100,'P&amp;L.current'!$BF$100,'P&amp;L.current'!$BG$100,'P&amp;L.current'!$BH$100,'P&amp;L.current'!$BI$100,'P&amp;L.current'!$W$102,'P&amp;L.current'!$Y$102,'P&amp;L.current'!$AB$102,'P&amp;L.current'!$AF$102,'P&amp;L.current'!$AR$102,'P&amp;L.current'!$AX$102,'P&amp;L.current'!$AZ$102,'P&amp;L.current'!$BG$102,'P&amp;L.current'!$BI$102,'P&amp;L.current'!$W$103</definedName>
    <definedName name="QB_FORMULA_93" localSheetId="12" hidden="1">'P&amp;L.prior'!#REF!,'P&amp;L.prior'!#REF!,'P&amp;L.prior'!#REF!,'P&amp;L.prior'!#REF!,'P&amp;L.prior'!#REF!,'P&amp;L.prior'!#REF!,'P&amp;L.prior'!$W$102,'P&amp;L.prior'!$Y$102,'P&amp;L.prior'!$AB$102,'P&amp;L.prior'!$AF$102,'P&amp;L.prior'!#REF!,'P&amp;L.prior'!#REF!,'P&amp;L.prior'!#REF!,'P&amp;L.prior'!#REF!,'P&amp;L.prior'!#REF!,'P&amp;L.prior'!$W$103</definedName>
    <definedName name="QB_FORMULA_94" localSheetId="10" hidden="1">'BS by month'!$Y$103,'BS by month'!$AB$103,'BS by month'!$AF$103,'BS by month'!#REF!,'BS by month'!#REF!,'BS by month'!#REF!,'BS by month'!#REF!,'BS by month'!#REF!,'BS by month'!$W$104,'BS by month'!$Y$104,'BS by month'!$AB$104,'BS by month'!$AF$104,'BS by month'!#REF!,'BS by month'!#REF!,'BS by month'!#REF!,'BS by month'!#REF!</definedName>
    <definedName name="QB_FORMULA_94" localSheetId="13" hidden="1">'P&amp;L.by month'!$Y$103,'P&amp;L.by month'!$AB$103,'P&amp;L.by month'!$AF$103,'P&amp;L.by month'!#REF!,'P&amp;L.by month'!#REF!,'P&amp;L.by month'!#REF!,'P&amp;L.by month'!#REF!,'P&amp;L.by month'!#REF!,'P&amp;L.by month'!$W$104,'P&amp;L.by month'!$Y$104,'P&amp;L.by month'!$AB$104,'P&amp;L.by month'!$AF$104,'P&amp;L.by month'!#REF!,'P&amp;L.by month'!#REF!,'P&amp;L.by month'!#REF!,'P&amp;L.by month'!#REF!</definedName>
    <definedName name="QB_FORMULA_94" localSheetId="11" hidden="1">'P&amp;L.current'!$Y$103,'P&amp;L.current'!$AB$103,'P&amp;L.current'!$AF$103,'P&amp;L.current'!$AR$103,'P&amp;L.current'!$AX$103,'P&amp;L.current'!$AZ$103,'P&amp;L.current'!$BG$103,'P&amp;L.current'!$BI$103,'P&amp;L.current'!$W$104,'P&amp;L.current'!$Y$104,'P&amp;L.current'!$AB$104,'P&amp;L.current'!$AF$104,'P&amp;L.current'!$AR$104,'P&amp;L.current'!$AX$104,'P&amp;L.current'!$AZ$104,'P&amp;L.current'!$BG$104</definedName>
    <definedName name="QB_FORMULA_94" localSheetId="12" hidden="1">'P&amp;L.prior'!$Y$103,'P&amp;L.prior'!$AB$103,'P&amp;L.prior'!$AF$103,'P&amp;L.prior'!#REF!,'P&amp;L.prior'!#REF!,'P&amp;L.prior'!#REF!,'P&amp;L.prior'!#REF!,'P&amp;L.prior'!#REF!,'P&amp;L.prior'!$W$104,'P&amp;L.prior'!$Y$104,'P&amp;L.prior'!$AB$104,'P&amp;L.prior'!$AF$104,'P&amp;L.prior'!#REF!,'P&amp;L.prior'!#REF!,'P&amp;L.prior'!#REF!,'P&amp;L.prior'!#REF!</definedName>
    <definedName name="QB_FORMULA_95" localSheetId="10" hidden="1">'BS by month'!#REF!,'BS by month'!$W$105,'BS by month'!$Y$105,'BS by month'!$AB$105,'BS by month'!$AF$105,'BS by month'!#REF!,'BS by month'!#REF!,'BS by month'!#REF!,'BS by month'!#REF!,'BS by month'!#REF!,'BS by month'!$I$106,'BS by month'!$J$106,'BS by month'!$K$106,'BS by month'!$L$106,'BS by month'!$M$106,'BS by month'!$N$106</definedName>
    <definedName name="QB_FORMULA_95" localSheetId="13" hidden="1">'P&amp;L.by month'!#REF!,'P&amp;L.by month'!$W$105,'P&amp;L.by month'!$Y$105,'P&amp;L.by month'!$AB$105,'P&amp;L.by month'!$AF$105,'P&amp;L.by month'!#REF!,'P&amp;L.by month'!#REF!,'P&amp;L.by month'!#REF!,'P&amp;L.by month'!#REF!,'P&amp;L.by month'!#REF!,'P&amp;L.by month'!$I$106,'P&amp;L.by month'!$J$106,'P&amp;L.by month'!$K$106,'P&amp;L.by month'!$L$106,'P&amp;L.by month'!$M$106,'P&amp;L.by month'!$N$106</definedName>
    <definedName name="QB_FORMULA_95" localSheetId="11" hidden="1">'P&amp;L.current'!$BI$104,'P&amp;L.current'!$W$105,'P&amp;L.current'!$Y$105,'P&amp;L.current'!$AB$105,'P&amp;L.current'!$AF$105,'P&amp;L.current'!$AR$105,'P&amp;L.current'!$AX$105,'P&amp;L.current'!$AZ$105,'P&amp;L.current'!$BG$105,'P&amp;L.current'!$BI$105,'P&amp;L.current'!$I$106,'P&amp;L.current'!$J$106,'P&amp;L.current'!$K$106,'P&amp;L.current'!$L$106,'P&amp;L.current'!$M$106,'P&amp;L.current'!$N$106</definedName>
    <definedName name="QB_FORMULA_95" localSheetId="12" hidden="1">'P&amp;L.prior'!#REF!,'P&amp;L.prior'!$W$105,'P&amp;L.prior'!$Y$105,'P&amp;L.prior'!$AB$105,'P&amp;L.prior'!$AF$105,'P&amp;L.prior'!#REF!,'P&amp;L.prior'!#REF!,'P&amp;L.prior'!#REF!,'P&amp;L.prior'!#REF!,'P&amp;L.prior'!#REF!,'P&amp;L.prior'!$I$106,'P&amp;L.prior'!$J$106,'P&amp;L.prior'!$K$106,'P&amp;L.prior'!$L$106,'P&amp;L.prior'!$M$106,'P&amp;L.prior'!$N$106</definedName>
    <definedName name="QB_FORMULA_96" localSheetId="10" hidden="1">'BS by month'!$O$106,'BS by month'!$P$106,'BS by month'!$Q$106,'BS by month'!$R$106,'BS by month'!$S$106,'BS by month'!$T$106,'BS by month'!$U$106,'BS by month'!$V$106,'BS by month'!$W$106,'BS by month'!$X$106,'BS by month'!$Y$106,'BS by month'!$Z$106,'BS by month'!$AA$106,'BS by month'!$AB$106,'BS by month'!$AC$106,'BS by month'!$AD$106</definedName>
    <definedName name="QB_FORMULA_96" localSheetId="13" hidden="1">'P&amp;L.by month'!$O$106,'P&amp;L.by month'!$P$106,'P&amp;L.by month'!$Q$106,'P&amp;L.by month'!$R$106,'P&amp;L.by month'!$S$106,'P&amp;L.by month'!$T$106,'P&amp;L.by month'!$U$106,'P&amp;L.by month'!$V$106,'P&amp;L.by month'!$W$106,'P&amp;L.by month'!$X$106,'P&amp;L.by month'!$Y$106,'P&amp;L.by month'!$Z$106,'P&amp;L.by month'!$AA$106,'P&amp;L.by month'!$AB$106,'P&amp;L.by month'!$AC$106,'P&amp;L.by month'!$AD$106</definedName>
    <definedName name="QB_FORMULA_96" localSheetId="11" hidden="1">'P&amp;L.current'!$O$106,'P&amp;L.current'!$P$106,'P&amp;L.current'!$Q$106,'P&amp;L.current'!$R$106,'P&amp;L.current'!$S$106,'P&amp;L.current'!$T$106,'P&amp;L.current'!$U$106,'P&amp;L.current'!$V$106,'P&amp;L.current'!$W$106,'P&amp;L.current'!$X$106,'P&amp;L.current'!$Y$106,'P&amp;L.current'!$Z$106,'P&amp;L.current'!$AA$106,'P&amp;L.current'!$AB$106,'P&amp;L.current'!$AC$106,'P&amp;L.current'!$AD$106</definedName>
    <definedName name="QB_FORMULA_96" localSheetId="12" hidden="1">'P&amp;L.prior'!$O$106,'P&amp;L.prior'!$P$106,'P&amp;L.prior'!$Q$106,'P&amp;L.prior'!$R$106,'P&amp;L.prior'!$S$106,'P&amp;L.prior'!$T$106,'P&amp;L.prior'!$U$106,'P&amp;L.prior'!$V$106,'P&amp;L.prior'!$W$106,'P&amp;L.prior'!$X$106,'P&amp;L.prior'!$Y$106,'P&amp;L.prior'!$Z$106,'P&amp;L.prior'!$AA$106,'P&amp;L.prior'!$AB$106,'P&amp;L.prior'!$AC$106,'P&amp;L.prior'!$AD$106</definedName>
    <definedName name="QB_FORMULA_97" localSheetId="10" hidden="1">'BS by month'!$AE$106,'BS by month'!$AF$106,'BS by month'!$AG$106,'BS by month'!$AH$106,'BS by month'!$AI$106,'BS by month'!$AJ$106,'BS by month'!$AK$106,'BS by month'!$AL$106,'BS by month'!#REF!,'BS by month'!#REF!,'BS by month'!#REF!,'BS by month'!#REF!,'BS by month'!#REF!,'BS by month'!#REF!,'BS by month'!#REF!,'BS by month'!#REF!</definedName>
    <definedName name="QB_FORMULA_97" localSheetId="13" hidden="1">'P&amp;L.by month'!$AE$106,'P&amp;L.by month'!$AF$106,'P&amp;L.by month'!$AG$106,'P&amp;L.by month'!$AH$106,'P&amp;L.by month'!$AI$106,'P&amp;L.by month'!$AJ$106,'P&amp;L.by month'!$AK$106,'P&amp;L.by month'!$AL$106,'P&amp;L.by month'!#REF!,'P&amp;L.by month'!#REF!,'P&amp;L.by month'!#REF!,'P&amp;L.by month'!#REF!,'P&amp;L.by month'!#REF!,'P&amp;L.by month'!#REF!,'P&amp;L.by month'!#REF!,'P&amp;L.by month'!#REF!</definedName>
    <definedName name="QB_FORMULA_97" localSheetId="11" hidden="1">'P&amp;L.current'!$AE$106,'P&amp;L.current'!$AF$106,'P&amp;L.current'!$AG$106,'P&amp;L.current'!$AH$106,'P&amp;L.current'!$AI$106,'P&amp;L.current'!$AJ$106,'P&amp;L.current'!$AK$106,'P&amp;L.current'!$AL$106,'P&amp;L.current'!$AM$106,'P&amp;L.current'!$AN$106,'P&amp;L.current'!$AO$106,'P&amp;L.current'!$AP$106,'P&amp;L.current'!$AQ$106,'P&amp;L.current'!$AR$106,'P&amp;L.current'!$AS$106,'P&amp;L.current'!$AT$106</definedName>
    <definedName name="QB_FORMULA_97" localSheetId="12" hidden="1">'P&amp;L.prior'!$AE$106,'P&amp;L.prior'!$AF$106,'P&amp;L.prior'!$AG$106,'P&amp;L.prior'!$AH$106,'P&amp;L.prior'!$AI$106,'P&amp;L.prior'!$AJ$106,'P&amp;L.prior'!$AK$106,'P&amp;L.prior'!$AL$106,'P&amp;L.prior'!#REF!,'P&amp;L.prior'!#REF!,'P&amp;L.prior'!#REF!,'P&amp;L.prior'!#REF!,'P&amp;L.prior'!#REF!,'P&amp;L.prior'!#REF!,'P&amp;L.prior'!#REF!,'P&amp;L.prior'!#REF!</definedName>
    <definedName name="QB_FORMULA_98" localSheetId="10" hidden="1">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month'!#REF!,'BS by month'!$W$108</definedName>
    <definedName name="QB_FORMULA_98" localSheetId="13" hidden="1">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month'!#REF!,'P&amp;L.by month'!$W$108</definedName>
    <definedName name="QB_FORMULA_98" localSheetId="11" hidden="1">'P&amp;L.current'!$AU$106,'P&amp;L.current'!$AV$106,'P&amp;L.current'!$AW$106,'P&amp;L.current'!$AX$106,'P&amp;L.current'!$AY$106,'P&amp;L.current'!$AZ$106,'P&amp;L.current'!$BA$106,'P&amp;L.current'!$BB$106,'P&amp;L.current'!$BC$106,'P&amp;L.current'!$BD$106,'P&amp;L.current'!$BE$106,'P&amp;L.current'!$BF$106,'P&amp;L.current'!$BG$106,'P&amp;L.current'!$BH$106,'P&amp;L.current'!$BI$106,'P&amp;L.current'!$W$108</definedName>
    <definedName name="QB_FORMULA_98" localSheetId="12" hidden="1">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#REF!,'P&amp;L.prior'!$W$108</definedName>
    <definedName name="QB_FORMULA_99" localSheetId="10" hidden="1">'BS by month'!$Y$108,'BS by month'!$AB$108,'BS by month'!$AF$108,'BS by month'!#REF!,'BS by month'!#REF!,'BS by month'!#REF!,'BS by month'!#REF!,'BS by month'!#REF!,'BS by month'!$I$109,'BS by month'!$J$109,'BS by month'!$K$109,'BS by month'!$L$109,'BS by month'!$M$109,'BS by month'!$N$109,'BS by month'!$O$109,'BS by month'!$P$109</definedName>
    <definedName name="QB_FORMULA_99" localSheetId="13" hidden="1">'P&amp;L.by month'!$Y$108,'P&amp;L.by month'!$AB$108,'P&amp;L.by month'!$AF$108,'P&amp;L.by month'!#REF!,'P&amp;L.by month'!#REF!,'P&amp;L.by month'!#REF!,'P&amp;L.by month'!#REF!,'P&amp;L.by month'!#REF!,'P&amp;L.by month'!$I$109,'P&amp;L.by month'!$J$109,'P&amp;L.by month'!$K$109,'P&amp;L.by month'!$L$109,'P&amp;L.by month'!$M$109,'P&amp;L.by month'!$N$109,'P&amp;L.by month'!$O$109,'P&amp;L.by month'!$P$109</definedName>
    <definedName name="QB_FORMULA_99" localSheetId="11" hidden="1">'P&amp;L.current'!$Y$108,'P&amp;L.current'!$AB$108,'P&amp;L.current'!$AF$108,'P&amp;L.current'!$AR$108,'P&amp;L.current'!$AX$108,'P&amp;L.current'!$AZ$108,'P&amp;L.current'!$BG$108,'P&amp;L.current'!$BI$108,'P&amp;L.current'!$I$109,'P&amp;L.current'!$J$109,'P&amp;L.current'!$K$109,'P&amp;L.current'!$L$109,'P&amp;L.current'!$M$109,'P&amp;L.current'!$N$109,'P&amp;L.current'!$O$109,'P&amp;L.current'!$P$109</definedName>
    <definedName name="QB_FORMULA_99" localSheetId="12" hidden="1">'P&amp;L.prior'!$Y$108,'P&amp;L.prior'!$AB$108,'P&amp;L.prior'!$AF$108,'P&amp;L.prior'!#REF!,'P&amp;L.prior'!#REF!,'P&amp;L.prior'!#REF!,'P&amp;L.prior'!#REF!,'P&amp;L.prior'!#REF!,'P&amp;L.prior'!$I$109,'P&amp;L.prior'!$J$109,'P&amp;L.prior'!$K$109,'P&amp;L.prior'!$L$109,'P&amp;L.prior'!$M$109,'P&amp;L.prior'!$N$109,'P&amp;L.prior'!$O$109,'P&amp;L.prior'!$P$109</definedName>
    <definedName name="QB_ROW_1" localSheetId="7" hidden="1">BS.current!$C$4</definedName>
    <definedName name="QB_ROW_1" localSheetId="9" hidden="1">'BS.multi year'!$C$4</definedName>
    <definedName name="QB_ROW_1" localSheetId="8" hidden="1">BS.prior!$C$4</definedName>
    <definedName name="QB_ROW_100240" localSheetId="7" hidden="1">BS.current!$G$37</definedName>
    <definedName name="QB_ROW_100240" localSheetId="9" hidden="1">'BS.multi year'!$G$39</definedName>
    <definedName name="QB_ROW_100240" localSheetId="8" hidden="1">BS.prior!$G$39</definedName>
    <definedName name="QB_ROW_10031" localSheetId="7" hidden="1">BS.current!$F$54</definedName>
    <definedName name="QB_ROW_10031" localSheetId="9" hidden="1">'BS.multi year'!$F$56</definedName>
    <definedName name="QB_ROW_10031" localSheetId="8" hidden="1">BS.prior!$F$56</definedName>
    <definedName name="QB_ROW_1011" localSheetId="7" hidden="1">BS.current!$D$5</definedName>
    <definedName name="QB_ROW_1011" localSheetId="9" hidden="1">'BS.multi year'!$D$5</definedName>
    <definedName name="QB_ROW_1011" localSheetId="8" hidden="1">BS.prior!$D$5</definedName>
    <definedName name="QB_ROW_101230" localSheetId="7" hidden="1">BS.current!$F$31</definedName>
    <definedName name="QB_ROW_101230" localSheetId="9" hidden="1">'BS.multi year'!$F$33</definedName>
    <definedName name="QB_ROW_101230" localSheetId="8" hidden="1">BS.prior!$F$33</definedName>
    <definedName name="QB_ROW_1032500" localSheetId="10" hidden="1">'BS by month'!$H$78</definedName>
    <definedName name="QB_ROW_1032500" localSheetId="13" hidden="1">'P&amp;L.by month'!$H$78</definedName>
    <definedName name="QB_ROW_1032500" localSheetId="11" hidden="1">'P&amp;L.current'!$H$78</definedName>
    <definedName name="QB_ROW_1032500" localSheetId="12" hidden="1">'P&amp;L.prior'!$H$78</definedName>
    <definedName name="QB_ROW_10331" localSheetId="7" hidden="1">BS.current!$F$56</definedName>
    <definedName name="QB_ROW_10331" localSheetId="9" hidden="1">'BS.multi year'!$F$58</definedName>
    <definedName name="QB_ROW_10331" localSheetId="8" hidden="1">BS.prior!$F$58</definedName>
    <definedName name="QB_ROW_1042500" localSheetId="10" hidden="1">'BS by month'!$H$142</definedName>
    <definedName name="QB_ROW_1042500" localSheetId="13" hidden="1">'P&amp;L.by month'!$H$142</definedName>
    <definedName name="QB_ROW_1042500" localSheetId="11" hidden="1">'P&amp;L.current'!$H$142</definedName>
    <definedName name="QB_ROW_1042500" localSheetId="12" hidden="1">'P&amp;L.prior'!$H$142</definedName>
    <definedName name="QB_ROW_1052500" localSheetId="10" hidden="1">'BS by month'!$H$119</definedName>
    <definedName name="QB_ROW_1052500" localSheetId="13" hidden="1">'P&amp;L.by month'!$H$119</definedName>
    <definedName name="QB_ROW_1052500" localSheetId="11" hidden="1">'P&amp;L.current'!$H$119</definedName>
    <definedName name="QB_ROW_1052500" localSheetId="12" hidden="1">'P&amp;L.prior'!$H$119</definedName>
    <definedName name="QB_ROW_1072500" localSheetId="10" hidden="1">'BS by month'!$H$58</definedName>
    <definedName name="QB_ROW_1072500" localSheetId="13" hidden="1">'P&amp;L.by month'!$H$58</definedName>
    <definedName name="QB_ROW_1072500" localSheetId="11" hidden="1">'P&amp;L.current'!$H$58</definedName>
    <definedName name="QB_ROW_1072500" localSheetId="12" hidden="1">'P&amp;L.prior'!$H$58</definedName>
    <definedName name="QB_ROW_108220" localSheetId="7" hidden="1">BS.current!$E$80</definedName>
    <definedName name="QB_ROW_1100400" localSheetId="10" hidden="1">'BS by month'!$G$50</definedName>
    <definedName name="QB_ROW_1100400" localSheetId="13" hidden="1">'P&amp;L.by month'!$G$50</definedName>
    <definedName name="QB_ROW_1100400" localSheetId="11" hidden="1">'P&amp;L.current'!$G$50</definedName>
    <definedName name="QB_ROW_1100400" localSheetId="12" hidden="1">'P&amp;L.prior'!$G$50</definedName>
    <definedName name="QB_ROW_11031" localSheetId="7" hidden="1">BS.current!$F$57</definedName>
    <definedName name="QB_ROW_11031" localSheetId="9" hidden="1">'BS.multi year'!$F$59</definedName>
    <definedName name="QB_ROW_11031" localSheetId="8" hidden="1">BS.prior!$F$59</definedName>
    <definedName name="QB_ROW_1103400" localSheetId="10" hidden="1">'BS by month'!$G$61</definedName>
    <definedName name="QB_ROW_1103400" localSheetId="13" hidden="1">'P&amp;L.by month'!$G$61</definedName>
    <definedName name="QB_ROW_1103400" localSheetId="11" hidden="1">'P&amp;L.current'!$G$61</definedName>
    <definedName name="QB_ROW_1103400" localSheetId="12" hidden="1">'P&amp;L.prior'!$G$61</definedName>
    <definedName name="QB_ROW_112030" localSheetId="7" hidden="1">BS.current!$F$7</definedName>
    <definedName name="QB_ROW_112030" localSheetId="9" hidden="1">'BS.multi year'!$F$7</definedName>
    <definedName name="QB_ROW_112030" localSheetId="8" hidden="1">BS.prior!$F$7</definedName>
    <definedName name="QB_ROW_112330" localSheetId="7" hidden="1">BS.current!$F$12</definedName>
    <definedName name="QB_ROW_112330" localSheetId="9" hidden="1">'BS.multi year'!$F$12</definedName>
    <definedName name="QB_ROW_112330" localSheetId="8" hidden="1">BS.prior!$F$12</definedName>
    <definedName name="QB_ROW_1132500" localSheetId="10" hidden="1">'BS by month'!$H$108</definedName>
    <definedName name="QB_ROW_1132500" localSheetId="13" hidden="1">'P&amp;L.by month'!$H$108</definedName>
    <definedName name="QB_ROW_1132500" localSheetId="11" hidden="1">'P&amp;L.current'!$H$108</definedName>
    <definedName name="QB_ROW_1132500" localSheetId="12" hidden="1">'P&amp;L.prior'!$H$108</definedName>
    <definedName name="QB_ROW_11331" localSheetId="7" hidden="1">BS.current!$F$66</definedName>
    <definedName name="QB_ROW_11331" localSheetId="9" hidden="1">'BS.multi year'!$F$63</definedName>
    <definedName name="QB_ROW_11331" localSheetId="8" hidden="1">BS.prior!$F$63</definedName>
    <definedName name="QB_ROW_1142500" localSheetId="10" hidden="1">'BS by month'!$H$29</definedName>
    <definedName name="QB_ROW_1142500" localSheetId="13" hidden="1">'P&amp;L.by month'!$H$29</definedName>
    <definedName name="QB_ROW_1142500" localSheetId="11" hidden="1">'P&amp;L.current'!$H$29</definedName>
    <definedName name="QB_ROW_1142500" localSheetId="12" hidden="1">'P&amp;L.prior'!$H$29</definedName>
    <definedName name="QB_ROW_1152500" localSheetId="10" hidden="1">'BS by month'!$H$147</definedName>
    <definedName name="QB_ROW_1152500" localSheetId="13" hidden="1">'P&amp;L.by month'!$H$147</definedName>
    <definedName name="QB_ROW_1152500" localSheetId="11" hidden="1">'P&amp;L.current'!$H$147</definedName>
    <definedName name="QB_ROW_1152500" localSheetId="12" hidden="1">'P&amp;L.prior'!$H$147</definedName>
    <definedName name="QB_ROW_1162500" localSheetId="10" hidden="1">'BS by month'!$H$149</definedName>
    <definedName name="QB_ROW_1162500" localSheetId="13" hidden="1">'P&amp;L.by month'!$H$149</definedName>
    <definedName name="QB_ROW_1162500" localSheetId="11" hidden="1">'P&amp;L.current'!$H$149</definedName>
    <definedName name="QB_ROW_1162500" localSheetId="12" hidden="1">'P&amp;L.prior'!$H$149</definedName>
    <definedName name="QB_ROW_1202500" localSheetId="10" hidden="1">'BS by month'!$H$13</definedName>
    <definedName name="QB_ROW_1202500" localSheetId="13" hidden="1">'P&amp;L.by month'!$H$13</definedName>
    <definedName name="QB_ROW_1202500" localSheetId="11" hidden="1">'P&amp;L.current'!$H$13</definedName>
    <definedName name="QB_ROW_1202500" localSheetId="12" hidden="1">'P&amp;L.prior'!$H$13</definedName>
    <definedName name="QB_ROW_12031" localSheetId="7" hidden="1">BS.current!$F$67</definedName>
    <definedName name="QB_ROW_12031" localSheetId="9" hidden="1">'BS.multi year'!$F$64</definedName>
    <definedName name="QB_ROW_12031" localSheetId="8" hidden="1">BS.prior!$F$64</definedName>
    <definedName name="QB_ROW_121050" localSheetId="7" hidden="1">BS.current!$H$59</definedName>
    <definedName name="QB_ROW_121260" localSheetId="7" hidden="1">BS.current!$I$63</definedName>
    <definedName name="QB_ROW_121350" localSheetId="7" hidden="1">BS.current!$H$64</definedName>
    <definedName name="QB_ROW_121350" localSheetId="9" hidden="1">'BS.multi year'!$H$61</definedName>
    <definedName name="QB_ROW_121350" localSheetId="8" hidden="1">BS.prior!$H$61</definedName>
    <definedName name="QB_ROW_1220" localSheetId="7" hidden="1">BS.current!$E$81</definedName>
    <definedName name="QB_ROW_1220" localSheetId="9" hidden="1">'BS.multi year'!$E$75</definedName>
    <definedName name="QB_ROW_1220" localSheetId="8" hidden="1">BS.prior!$E$75</definedName>
    <definedName name="QB_ROW_122500" localSheetId="10" hidden="1">'BS by month'!$H$19</definedName>
    <definedName name="QB_ROW_122500" localSheetId="13" hidden="1">'P&amp;L.by month'!$H$19</definedName>
    <definedName name="QB_ROW_122500" localSheetId="11" hidden="1">'P&amp;L.current'!$H$19</definedName>
    <definedName name="QB_ROW_122500" localSheetId="12" hidden="1">'P&amp;L.prior'!$H$19</definedName>
    <definedName name="QB_ROW_1232400" localSheetId="10" hidden="1">'BS by month'!$G$31</definedName>
    <definedName name="QB_ROW_1232400" localSheetId="13" hidden="1">'P&amp;L.by month'!$G$31</definedName>
    <definedName name="QB_ROW_1232400" localSheetId="11" hidden="1">'P&amp;L.current'!$G$31</definedName>
    <definedName name="QB_ROW_1232400" localSheetId="12" hidden="1">'P&amp;L.prior'!$G$31</definedName>
    <definedName name="QB_ROW_12331" localSheetId="7" hidden="1">BS.current!$F$76</definedName>
    <definedName name="QB_ROW_12331" localSheetId="9" hidden="1">'BS.multi year'!$F$71</definedName>
    <definedName name="QB_ROW_12331" localSheetId="8" hidden="1">BS.prior!$F$71</definedName>
    <definedName name="QB_ROW_1242400" localSheetId="10" hidden="1">'BS by month'!$G$27</definedName>
    <definedName name="QB_ROW_1242400" localSheetId="13" hidden="1">'P&amp;L.by month'!$G$27</definedName>
    <definedName name="QB_ROW_1242400" localSheetId="11" hidden="1">'P&amp;L.current'!$G$27</definedName>
    <definedName name="QB_ROW_1242400" localSheetId="12" hidden="1">'P&amp;L.prior'!$G$27</definedName>
    <definedName name="QB_ROW_130050" localSheetId="7" hidden="1">BS.current!$H$70</definedName>
    <definedName name="QB_ROW_130350" localSheetId="7" hidden="1">BS.current!$H$72</definedName>
    <definedName name="QB_ROW_1311" localSheetId="7" hidden="1">BS.current!$D$33</definedName>
    <definedName name="QB_ROW_1311" localSheetId="9" hidden="1">'BS.multi year'!$D$35</definedName>
    <definedName name="QB_ROW_1311" localSheetId="8" hidden="1">BS.prior!$D$35</definedName>
    <definedName name="QB_ROW_132500" localSheetId="10" hidden="1">'BS by month'!$H$7</definedName>
    <definedName name="QB_ROW_132500" localSheetId="13" hidden="1">'P&amp;L.by month'!$H$7</definedName>
    <definedName name="QB_ROW_132500" localSheetId="11" hidden="1">'P&amp;L.current'!$H$7</definedName>
    <definedName name="QB_ROW_132500" localSheetId="12" hidden="1">'P&amp;L.prior'!$H$7</definedName>
    <definedName name="QB_ROW_1342500" localSheetId="10" hidden="1">'BS by month'!$H$73</definedName>
    <definedName name="QB_ROW_1342500" localSheetId="13" hidden="1">'P&amp;L.by month'!$H$73</definedName>
    <definedName name="QB_ROW_1342500" localSheetId="11" hidden="1">'P&amp;L.current'!$H$73</definedName>
    <definedName name="QB_ROW_1342500" localSheetId="12" hidden="1">'P&amp;L.prior'!$H$73</definedName>
    <definedName name="QB_ROW_137250" localSheetId="9" hidden="1">'BS.multi year'!$H$66</definedName>
    <definedName name="QB_ROW_137250" localSheetId="8" hidden="1">BS.prior!$H$66</definedName>
    <definedName name="QB_ROW_138240" localSheetId="7" hidden="1">BS.current!$G$43</definedName>
    <definedName name="QB_ROW_138240" localSheetId="9" hidden="1">'BS.multi year'!$G$45</definedName>
    <definedName name="QB_ROW_138240" localSheetId="8" hidden="1">BS.prior!$G$45</definedName>
    <definedName name="QB_ROW_14011" localSheetId="7" hidden="1">BS.current!$D$79</definedName>
    <definedName name="QB_ROW_14011" localSheetId="9" hidden="1">'BS.multi year'!$D$74</definedName>
    <definedName name="QB_ROW_14011" localSheetId="8" hidden="1">BS.prior!$D$74</definedName>
    <definedName name="QB_ROW_142240" localSheetId="9" hidden="1">'BS.multi year'!$G$26</definedName>
    <definedName name="QB_ROW_142240" localSheetId="8" hidden="1">BS.prior!$G$26</definedName>
    <definedName name="QB_ROW_14311" localSheetId="7" hidden="1">BS.current!$D$83</definedName>
    <definedName name="QB_ROW_14311" localSheetId="9" hidden="1">'BS.multi year'!$D$77</definedName>
    <definedName name="QB_ROW_14311" localSheetId="8" hidden="1">BS.prior!$D$77</definedName>
    <definedName name="QB_ROW_1452500" localSheetId="10" hidden="1">'BS by month'!$H$141</definedName>
    <definedName name="QB_ROW_1452500" localSheetId="13" hidden="1">'P&amp;L.by month'!$H$141</definedName>
    <definedName name="QB_ROW_1452500" localSheetId="11" hidden="1">'P&amp;L.current'!$H$141</definedName>
    <definedName name="QB_ROW_1452500" localSheetId="12" hidden="1">'P&amp;L.prior'!$H$141</definedName>
    <definedName name="QB_ROW_1472500" localSheetId="10" hidden="1">'BS by month'!$H$120</definedName>
    <definedName name="QB_ROW_1472500" localSheetId="13" hidden="1">'P&amp;L.by month'!$H$120</definedName>
    <definedName name="QB_ROW_1472500" localSheetId="11" hidden="1">'P&amp;L.current'!$H$120</definedName>
    <definedName name="QB_ROW_1472500" localSheetId="12" hidden="1">'P&amp;L.prior'!$H$120</definedName>
    <definedName name="QB_ROW_1492500" localSheetId="10" hidden="1">'BS by month'!$H$87</definedName>
    <definedName name="QB_ROW_1492500" localSheetId="13" hidden="1">'P&amp;L.by month'!$H$87</definedName>
    <definedName name="QB_ROW_1492500" localSheetId="11" hidden="1">'P&amp;L.current'!$H$87</definedName>
    <definedName name="QB_ROW_1492500" localSheetId="12" hidden="1">'P&amp;L.prior'!$H$87</definedName>
    <definedName name="QB_ROW_1522500" localSheetId="10" hidden="1">'BS by month'!$H$77</definedName>
    <definedName name="QB_ROW_1522500" localSheetId="13" hidden="1">'P&amp;L.by month'!$H$77</definedName>
    <definedName name="QB_ROW_1522500" localSheetId="11" hidden="1">'P&amp;L.current'!$H$77</definedName>
    <definedName name="QB_ROW_1522500" localSheetId="12" hidden="1">'P&amp;L.prior'!$H$77</definedName>
    <definedName name="QB_ROW_152500" localSheetId="10" hidden="1">'BS by month'!$H$8</definedName>
    <definedName name="QB_ROW_152500" localSheetId="13" hidden="1">'P&amp;L.by month'!$H$8</definedName>
    <definedName name="QB_ROW_152500" localSheetId="11" hidden="1">'P&amp;L.current'!$H$8</definedName>
    <definedName name="QB_ROW_152500" localSheetId="12" hidden="1">'P&amp;L.prior'!$H$8</definedName>
    <definedName name="QB_ROW_1562500" localSheetId="10" hidden="1">'BS by month'!$H$75</definedName>
    <definedName name="QB_ROW_1562500" localSheetId="13" hidden="1">'P&amp;L.by month'!$H$75</definedName>
    <definedName name="QB_ROW_1562500" localSheetId="11" hidden="1">'P&amp;L.current'!$H$75</definedName>
    <definedName name="QB_ROW_1562500" localSheetId="12" hidden="1">'P&amp;L.prior'!$H$75</definedName>
    <definedName name="QB_ROW_1572500" localSheetId="10" hidden="1">'BS by month'!$H$130</definedName>
    <definedName name="QB_ROW_1572500" localSheetId="13" hidden="1">'P&amp;L.by month'!$H$130</definedName>
    <definedName name="QB_ROW_1572500" localSheetId="11" hidden="1">'P&amp;L.current'!$H$130</definedName>
    <definedName name="QB_ROW_1572500" localSheetId="12" hidden="1">'P&amp;L.prior'!$H$130</definedName>
    <definedName name="QB_ROW_1612500" localSheetId="10" hidden="1">'BS by month'!$H$97</definedName>
    <definedName name="QB_ROW_1612500" localSheetId="13" hidden="1">'P&amp;L.by month'!$H$97</definedName>
    <definedName name="QB_ROW_1612500" localSheetId="11" hidden="1">'P&amp;L.current'!$H$97</definedName>
    <definedName name="QB_ROW_1612500" localSheetId="12" hidden="1">'P&amp;L.prior'!$H$97</definedName>
    <definedName name="QB_ROW_1622500" localSheetId="10" hidden="1">'BS by month'!$H$115</definedName>
    <definedName name="QB_ROW_1622500" localSheetId="13" hidden="1">'P&amp;L.by month'!$H$115</definedName>
    <definedName name="QB_ROW_1622500" localSheetId="11" hidden="1">'P&amp;L.current'!$H$115</definedName>
    <definedName name="QB_ROW_1622500" localSheetId="12" hidden="1">'P&amp;L.prior'!$H$115</definedName>
    <definedName name="QB_ROW_162500" localSheetId="10" hidden="1">'BS by month'!$H$33</definedName>
    <definedName name="QB_ROW_162500" localSheetId="13" hidden="1">'P&amp;L.by month'!$H$33</definedName>
    <definedName name="QB_ROW_162500" localSheetId="11" hidden="1">'P&amp;L.current'!$H$33</definedName>
    <definedName name="QB_ROW_162500" localSheetId="12" hidden="1">'P&amp;L.prior'!$H$33</definedName>
    <definedName name="QB_ROW_1662500" localSheetId="10" hidden="1">'BS by month'!$H$143</definedName>
    <definedName name="QB_ROW_1662500" localSheetId="13" hidden="1">'P&amp;L.by month'!$H$143</definedName>
    <definedName name="QB_ROW_1662500" localSheetId="11" hidden="1">'P&amp;L.current'!$H$143</definedName>
    <definedName name="QB_ROW_1662500" localSheetId="12" hidden="1">'P&amp;L.prior'!$H$143</definedName>
    <definedName name="QB_ROW_1672500" localSheetId="10" hidden="1">'BS by month'!$H$84</definedName>
    <definedName name="QB_ROW_1672500" localSheetId="13" hidden="1">'P&amp;L.by month'!$H$84</definedName>
    <definedName name="QB_ROW_1672500" localSheetId="11" hidden="1">'P&amp;L.current'!$H$84</definedName>
    <definedName name="QB_ROW_1672500" localSheetId="12" hidden="1">'P&amp;L.prior'!$H$84</definedName>
    <definedName name="QB_ROW_1682500" localSheetId="10" hidden="1">'BS by month'!$H$127</definedName>
    <definedName name="QB_ROW_1682500" localSheetId="13" hidden="1">'P&amp;L.by month'!$H$127</definedName>
    <definedName name="QB_ROW_1682500" localSheetId="11" hidden="1">'P&amp;L.current'!$H$127</definedName>
    <definedName name="QB_ROW_1682500" localSheetId="12" hidden="1">'P&amp;L.prior'!$H$127</definedName>
    <definedName name="QB_ROW_1702500" localSheetId="10" hidden="1">'BS by month'!$H$36</definedName>
    <definedName name="QB_ROW_1702500" localSheetId="13" hidden="1">'P&amp;L.by month'!$H$36</definedName>
    <definedName name="QB_ROW_1702500" localSheetId="11" hidden="1">'P&amp;L.current'!$H$36</definedName>
    <definedName name="QB_ROW_1702500" localSheetId="12" hidden="1">'P&amp;L.prior'!$H$36</definedName>
    <definedName name="QB_ROW_17221" localSheetId="7" hidden="1">BS.current!$E$82</definedName>
    <definedName name="QB_ROW_17221" localSheetId="9" hidden="1">'BS.multi year'!$E$76</definedName>
    <definedName name="QB_ROW_17221" localSheetId="8" hidden="1">BS.prior!$E$76</definedName>
    <definedName name="QB_ROW_172240" localSheetId="7" hidden="1">BS.current!$G$39</definedName>
    <definedName name="QB_ROW_172240" localSheetId="9" hidden="1">'BS.multi year'!$G$41</definedName>
    <definedName name="QB_ROW_172240" localSheetId="8" hidden="1">BS.prior!$G$41</definedName>
    <definedName name="QB_ROW_1752300" localSheetId="10" hidden="1">'BS by month'!$F$156</definedName>
    <definedName name="QB_ROW_1752300" localSheetId="13" hidden="1">'P&amp;L.by month'!$F$156</definedName>
    <definedName name="QB_ROW_1752300" localSheetId="11" hidden="1">'P&amp;L.current'!$F$156</definedName>
    <definedName name="QB_ROW_1752300" localSheetId="12" hidden="1">'P&amp;L.prior'!$F$156</definedName>
    <definedName name="QB_ROW_1802500" localSheetId="10" hidden="1">'BS by month'!$H$137</definedName>
    <definedName name="QB_ROW_1802500" localSheetId="13" hidden="1">'P&amp;L.by month'!$H$137</definedName>
    <definedName name="QB_ROW_1802500" localSheetId="11" hidden="1">'P&amp;L.current'!$H$137</definedName>
    <definedName name="QB_ROW_1802500" localSheetId="12" hidden="1">'P&amp;L.prior'!$H$137</definedName>
    <definedName name="QB_ROW_1822500" localSheetId="10" hidden="1">'BS by month'!$H$128</definedName>
    <definedName name="QB_ROW_1822500" localSheetId="13" hidden="1">'P&amp;L.by month'!$H$128</definedName>
    <definedName name="QB_ROW_1822500" localSheetId="11" hidden="1">'P&amp;L.current'!$H$128</definedName>
    <definedName name="QB_ROW_1822500" localSheetId="12" hidden="1">'P&amp;L.prior'!$H$128</definedName>
    <definedName name="QB_ROW_182500" localSheetId="10" hidden="1">'BS by month'!$H$46</definedName>
    <definedName name="QB_ROW_182500" localSheetId="13" hidden="1">'P&amp;L.by month'!$H$46</definedName>
    <definedName name="QB_ROW_182500" localSheetId="11" hidden="1">'P&amp;L.current'!$H$46</definedName>
    <definedName name="QB_ROW_182500" localSheetId="12" hidden="1">'P&amp;L.prior'!$H$46</definedName>
    <definedName name="QB_ROW_183010" localSheetId="10" hidden="1">'BS by month'!$C$159</definedName>
    <definedName name="QB_ROW_183010" localSheetId="13" hidden="1">'P&amp;L.by month'!$C$159</definedName>
    <definedName name="QB_ROW_183010" localSheetId="11" hidden="1">'P&amp;L.current'!$C$159</definedName>
    <definedName name="QB_ROW_183010" localSheetId="12" hidden="1">'P&amp;L.prior'!$C$159</definedName>
    <definedName name="QB_ROW_1872500" localSheetId="10" hidden="1">'BS by month'!$H$25</definedName>
    <definedName name="QB_ROW_1872500" localSheetId="13" hidden="1">'P&amp;L.by month'!$H$25</definedName>
    <definedName name="QB_ROW_1872500" localSheetId="11" hidden="1">'P&amp;L.current'!$H$25</definedName>
    <definedName name="QB_ROW_1872500" localSheetId="12" hidden="1">'P&amp;L.prior'!$H$25</definedName>
    <definedName name="QB_ROW_190110" localSheetId="10" hidden="1">'BS by month'!$D$4</definedName>
    <definedName name="QB_ROW_190110" localSheetId="13" hidden="1">'P&amp;L.by month'!$D$4</definedName>
    <definedName name="QB_ROW_190110" localSheetId="11" hidden="1">'P&amp;L.current'!$D$4</definedName>
    <definedName name="QB_ROW_190110" localSheetId="12" hidden="1">'P&amp;L.prior'!$D$4</definedName>
    <definedName name="QB_ROW_1902500" localSheetId="10" hidden="1">'BS by month'!$H$20</definedName>
    <definedName name="QB_ROW_1902500" localSheetId="13" hidden="1">'P&amp;L.by month'!$H$20</definedName>
    <definedName name="QB_ROW_1902500" localSheetId="11" hidden="1">'P&amp;L.current'!$H$20</definedName>
    <definedName name="QB_ROW_1902500" localSheetId="12" hidden="1">'P&amp;L.prior'!$H$20</definedName>
    <definedName name="QB_ROW_193110" localSheetId="10" hidden="1">'BS by month'!$D$152</definedName>
    <definedName name="QB_ROW_193110" localSheetId="13" hidden="1">'P&amp;L.by month'!$D$152</definedName>
    <definedName name="QB_ROW_193110" localSheetId="11" hidden="1">'P&amp;L.current'!$D$152</definedName>
    <definedName name="QB_ROW_193110" localSheetId="12" hidden="1">'P&amp;L.prior'!$D$152</definedName>
    <definedName name="QB_ROW_200310" localSheetId="10" hidden="1">'BS by month'!$F$5</definedName>
    <definedName name="QB_ROW_200310" localSheetId="13" hidden="1">'P&amp;L.by month'!$F$5</definedName>
    <definedName name="QB_ROW_200310" localSheetId="11" hidden="1">'P&amp;L.current'!$F$5</definedName>
    <definedName name="QB_ROW_200310" localSheetId="12" hidden="1">'P&amp;L.prior'!$F$5</definedName>
    <definedName name="QB_ROW_2021" localSheetId="7" hidden="1">BS.current!$E$6</definedName>
    <definedName name="QB_ROW_2021" localSheetId="9" hidden="1">'BS.multi year'!$E$6</definedName>
    <definedName name="QB_ROW_2021" localSheetId="8" hidden="1">BS.prior!$E$6</definedName>
    <definedName name="QB_ROW_202500" localSheetId="10" hidden="1">'BS by month'!$H$23</definedName>
    <definedName name="QB_ROW_202500" localSheetId="13" hidden="1">'P&amp;L.by month'!$H$23</definedName>
    <definedName name="QB_ROW_202500" localSheetId="11" hidden="1">'P&amp;L.current'!$H$23</definedName>
    <definedName name="QB_ROW_202500" localSheetId="12" hidden="1">'P&amp;L.prior'!$H$23</definedName>
    <definedName name="QB_ROW_203310" localSheetId="10" hidden="1">'BS by month'!$F$39</definedName>
    <definedName name="QB_ROW_203310" localSheetId="13" hidden="1">'P&amp;L.by month'!$F$39</definedName>
    <definedName name="QB_ROW_203310" localSheetId="11" hidden="1">'P&amp;L.current'!$F$39</definedName>
    <definedName name="QB_ROW_203310" localSheetId="12" hidden="1">'P&amp;L.prior'!$F$39</definedName>
    <definedName name="QB_ROW_210310" localSheetId="10" hidden="1">'BS by month'!$F$44</definedName>
    <definedName name="QB_ROW_210310" localSheetId="13" hidden="1">'P&amp;L.by month'!$F$44</definedName>
    <definedName name="QB_ROW_210310" localSheetId="11" hidden="1">'P&amp;L.current'!$F$44</definedName>
    <definedName name="QB_ROW_210310" localSheetId="12" hidden="1">'P&amp;L.prior'!$F$44</definedName>
    <definedName name="QB_ROW_213310" localSheetId="10" hidden="1">'BS by month'!$F$151</definedName>
    <definedName name="QB_ROW_213310" localSheetId="13" hidden="1">'P&amp;L.by month'!$F$151</definedName>
    <definedName name="QB_ROW_213310" localSheetId="11" hidden="1">'P&amp;L.current'!$F$151</definedName>
    <definedName name="QB_ROW_213310" localSheetId="12" hidden="1">'P&amp;L.prior'!$F$151</definedName>
    <definedName name="QB_ROW_220110" localSheetId="10" hidden="1">'BS by month'!$D$153</definedName>
    <definedName name="QB_ROW_220110" localSheetId="13" hidden="1">'P&amp;L.by month'!$D$153</definedName>
    <definedName name="QB_ROW_220110" localSheetId="11" hidden="1">'P&amp;L.current'!$D$153</definedName>
    <definedName name="QB_ROW_220110" localSheetId="12" hidden="1">'P&amp;L.prior'!$D$153</definedName>
    <definedName name="QB_ROW_2212500" localSheetId="10" hidden="1">'BS by month'!$H$103</definedName>
    <definedName name="QB_ROW_2212500" localSheetId="13" hidden="1">'P&amp;L.by month'!$H$103</definedName>
    <definedName name="QB_ROW_2212500" localSheetId="11" hidden="1">'P&amp;L.current'!$H$103</definedName>
    <definedName name="QB_ROW_2212500" localSheetId="12" hidden="1">'P&amp;L.prior'!$H$103</definedName>
    <definedName name="QB_ROW_223110" localSheetId="10" hidden="1">'BS by month'!$D$158</definedName>
    <definedName name="QB_ROW_223110" localSheetId="13" hidden="1">'P&amp;L.by month'!$D$158</definedName>
    <definedName name="QB_ROW_223110" localSheetId="11" hidden="1">'P&amp;L.current'!$D$158</definedName>
    <definedName name="QB_ROW_223110" localSheetId="12" hidden="1">'P&amp;L.prior'!$D$158</definedName>
    <definedName name="QB_ROW_223240" localSheetId="7" hidden="1">BS.current!$G$10</definedName>
    <definedName name="QB_ROW_223240" localSheetId="9" hidden="1">'BS.multi year'!$G$10</definedName>
    <definedName name="QB_ROW_223240" localSheetId="8" hidden="1">BS.prior!$G$10</definedName>
    <definedName name="QB_ROW_224240" localSheetId="7" hidden="1">BS.current!$G$14</definedName>
    <definedName name="QB_ROW_224240" localSheetId="9" hidden="1">'BS.multi year'!$G$14</definedName>
    <definedName name="QB_ROW_224240" localSheetId="8" hidden="1">BS.prior!$G$14</definedName>
    <definedName name="QB_ROW_225240" localSheetId="7" hidden="1">BS.current!$G$11</definedName>
    <definedName name="QB_ROW_225240" localSheetId="9" hidden="1">'BS.multi year'!$G$11</definedName>
    <definedName name="QB_ROW_225240" localSheetId="8" hidden="1">BS.prior!$G$11</definedName>
    <definedName name="QB_ROW_226240" localSheetId="7" hidden="1">BS.current!$G$15</definedName>
    <definedName name="QB_ROW_226240" localSheetId="9" hidden="1">'BS.multi year'!$G$15</definedName>
    <definedName name="QB_ROW_226240" localSheetId="8" hidden="1">BS.prior!$G$15</definedName>
    <definedName name="QB_ROW_229230" localSheetId="7" hidden="1">BS.current!$F$25</definedName>
    <definedName name="QB_ROW_229230" localSheetId="9" hidden="1">'BS.multi year'!$F$28</definedName>
    <definedName name="QB_ROW_229230" localSheetId="8" hidden="1">BS.prior!$F$28</definedName>
    <definedName name="QB_ROW_2321" localSheetId="7" hidden="1">BS.current!$E$17</definedName>
    <definedName name="QB_ROW_2321" localSheetId="9" hidden="1">'BS.multi year'!$E$17</definedName>
    <definedName name="QB_ROW_2321" localSheetId="8" hidden="1">BS.prior!$E$17</definedName>
    <definedName name="QB_ROW_240210" localSheetId="10" hidden="1">'BS by month'!$E$154</definedName>
    <definedName name="QB_ROW_240210" localSheetId="13" hidden="1">'P&amp;L.by month'!$E$154</definedName>
    <definedName name="QB_ROW_240210" localSheetId="11" hidden="1">'P&amp;L.current'!$E$154</definedName>
    <definedName name="QB_ROW_240210" localSheetId="12" hidden="1">'P&amp;L.prior'!$E$154</definedName>
    <definedName name="QB_ROW_242500" localSheetId="10" hidden="1">'BS by month'!$H$55</definedName>
    <definedName name="QB_ROW_242500" localSheetId="13" hidden="1">'P&amp;L.by month'!$H$55</definedName>
    <definedName name="QB_ROW_242500" localSheetId="11" hidden="1">'P&amp;L.current'!$H$55</definedName>
    <definedName name="QB_ROW_242500" localSheetId="12" hidden="1">'P&amp;L.prior'!$H$55</definedName>
    <definedName name="QB_ROW_243210" localSheetId="10" hidden="1">'BS by month'!$E$157</definedName>
    <definedName name="QB_ROW_243210" localSheetId="13" hidden="1">'P&amp;L.by month'!$E$157</definedName>
    <definedName name="QB_ROW_243210" localSheetId="11" hidden="1">'P&amp;L.current'!$E$157</definedName>
    <definedName name="QB_ROW_243210" localSheetId="12" hidden="1">'P&amp;L.prior'!$E$157</definedName>
    <definedName name="QB_ROW_252500" localSheetId="10" hidden="1">'BS by month'!$H$56</definedName>
    <definedName name="QB_ROW_252500" localSheetId="13" hidden="1">'P&amp;L.by month'!$H$56</definedName>
    <definedName name="QB_ROW_252500" localSheetId="11" hidden="1">'P&amp;L.current'!$H$56</definedName>
    <definedName name="QB_ROW_252500" localSheetId="12" hidden="1">'P&amp;L.prior'!$H$56</definedName>
    <definedName name="QB_ROW_262500" localSheetId="10" hidden="1">'BS by month'!$H$57</definedName>
    <definedName name="QB_ROW_262500" localSheetId="13" hidden="1">'P&amp;L.by month'!$H$57</definedName>
    <definedName name="QB_ROW_262500" localSheetId="11" hidden="1">'P&amp;L.current'!$H$57</definedName>
    <definedName name="QB_ROW_262500" localSheetId="12" hidden="1">'P&amp;L.prior'!$H$57</definedName>
    <definedName name="QB_ROW_272500" localSheetId="10" hidden="1">'BS by month'!$H$54</definedName>
    <definedName name="QB_ROW_272500" localSheetId="13" hidden="1">'P&amp;L.by month'!$H$54</definedName>
    <definedName name="QB_ROW_272500" localSheetId="11" hidden="1">'P&amp;L.current'!$H$54</definedName>
    <definedName name="QB_ROW_272500" localSheetId="12" hidden="1">'P&amp;L.prior'!$H$54</definedName>
    <definedName name="QB_ROW_277260" localSheetId="7" hidden="1">BS.current!$I$61</definedName>
    <definedName name="QB_ROW_278260" localSheetId="7" hidden="1">BS.current!$I$60</definedName>
    <definedName name="QB_ROW_282500" localSheetId="10" hidden="1">'BS by month'!$H$51</definedName>
    <definedName name="QB_ROW_282500" localSheetId="13" hidden="1">'P&amp;L.by month'!$H$51</definedName>
    <definedName name="QB_ROW_282500" localSheetId="11" hidden="1">'P&amp;L.current'!$H$51</definedName>
    <definedName name="QB_ROW_282500" localSheetId="12" hidden="1">'P&amp;L.prior'!$H$51</definedName>
    <definedName name="QB_ROW_2872500" localSheetId="10" hidden="1">'BS by month'!$H$70</definedName>
    <definedName name="QB_ROW_2872500" localSheetId="13" hidden="1">'P&amp;L.by month'!$H$70</definedName>
    <definedName name="QB_ROW_2872500" localSheetId="11" hidden="1">'P&amp;L.current'!$H$70</definedName>
    <definedName name="QB_ROW_2872500" localSheetId="12" hidden="1">'P&amp;L.prior'!$H$70</definedName>
    <definedName name="QB_ROW_2882500" localSheetId="10" hidden="1">'BS by month'!$H$148</definedName>
    <definedName name="QB_ROW_2882500" localSheetId="13" hidden="1">'P&amp;L.by month'!$H$148</definedName>
    <definedName name="QB_ROW_2882500" localSheetId="11" hidden="1">'P&amp;L.current'!$H$148</definedName>
    <definedName name="QB_ROW_2882500" localSheetId="12" hidden="1">'P&amp;L.prior'!$H$148</definedName>
    <definedName name="QB_ROW_301" localSheetId="7" hidden="1">BS.current!$C$50</definedName>
    <definedName name="QB_ROW_301" localSheetId="9" hidden="1">'BS.multi year'!$C$52</definedName>
    <definedName name="QB_ROW_301" localSheetId="8" hidden="1">BS.prior!$C$52</definedName>
    <definedName name="QB_ROW_3021" localSheetId="7" hidden="1">BS.current!$E$18</definedName>
    <definedName name="QB_ROW_3021" localSheetId="9" hidden="1">'BS.multi year'!$E$18</definedName>
    <definedName name="QB_ROW_3021" localSheetId="8" hidden="1">BS.prior!$E$18</definedName>
    <definedName name="QB_ROW_311260" localSheetId="7" hidden="1">BS.current!$I$62</definedName>
    <definedName name="QB_ROW_312500" localSheetId="10" hidden="1">'BS by month'!$H$96</definedName>
    <definedName name="QB_ROW_312500" localSheetId="13" hidden="1">'P&amp;L.by month'!$H$96</definedName>
    <definedName name="QB_ROW_312500" localSheetId="11" hidden="1">'P&amp;L.current'!$H$96</definedName>
    <definedName name="QB_ROW_312500" localSheetId="12" hidden="1">'P&amp;L.prior'!$H$96</definedName>
    <definedName name="QB_ROW_3132500" localSheetId="10" hidden="1">'BS by month'!$H$64</definedName>
    <definedName name="QB_ROW_3132500" localSheetId="13" hidden="1">'P&amp;L.by month'!$H$64</definedName>
    <definedName name="QB_ROW_3132500" localSheetId="11" hidden="1">'P&amp;L.current'!$H$64</definedName>
    <definedName name="QB_ROW_3132500" localSheetId="12" hidden="1">'P&amp;L.prior'!$H$64</definedName>
    <definedName name="QB_ROW_3142500" localSheetId="10" hidden="1">'BS by month'!$H$9</definedName>
    <definedName name="QB_ROW_3142500" localSheetId="13" hidden="1">'P&amp;L.by month'!$H$9</definedName>
    <definedName name="QB_ROW_3142500" localSheetId="11" hidden="1">'P&amp;L.current'!$H$9</definedName>
    <definedName name="QB_ROW_3142500" localSheetId="12" hidden="1">'P&amp;L.prior'!$H$9</definedName>
    <definedName name="QB_ROW_322240" localSheetId="7" hidden="1">BS.current!$G$45</definedName>
    <definedName name="QB_ROW_322240" localSheetId="9" hidden="1">'BS.multi year'!$G$47</definedName>
    <definedName name="QB_ROW_322240" localSheetId="8" hidden="1">BS.prior!$G$47</definedName>
    <definedName name="QB_ROW_3240" localSheetId="7" hidden="1">BS.current!$G$8</definedName>
    <definedName name="QB_ROW_3240" localSheetId="9" hidden="1">'BS.multi year'!$G$8</definedName>
    <definedName name="QB_ROW_3240" localSheetId="8" hidden="1">BS.prior!$G$8</definedName>
    <definedName name="QB_ROW_327250" localSheetId="7" hidden="1">BS.current!$H$69</definedName>
    <definedName name="QB_ROW_327250" localSheetId="9" hidden="1">'BS.multi year'!$H$69</definedName>
    <definedName name="QB_ROW_327250" localSheetId="8" hidden="1">BS.prior!$H$69</definedName>
    <definedName name="QB_ROW_3321" localSheetId="7" hidden="1">BS.current!$E$23</definedName>
    <definedName name="QB_ROW_3321" localSheetId="9" hidden="1">'BS.multi year'!$E$23</definedName>
    <definedName name="QB_ROW_3321" localSheetId="8" hidden="1">BS.prior!$E$23</definedName>
    <definedName name="QB_ROW_332500" localSheetId="10" hidden="1">'BS by month'!$H$74</definedName>
    <definedName name="QB_ROW_332500" localSheetId="13" hidden="1">'P&amp;L.by month'!$H$74</definedName>
    <definedName name="QB_ROW_332500" localSheetId="11" hidden="1">'P&amp;L.current'!$H$74</definedName>
    <definedName name="QB_ROW_332500" localSheetId="12" hidden="1">'P&amp;L.prior'!$H$74</definedName>
    <definedName name="QB_ROW_3332500" localSheetId="10" hidden="1">'BS by month'!$H$59</definedName>
    <definedName name="QB_ROW_3332500" localSheetId="13" hidden="1">'P&amp;L.by month'!$H$59</definedName>
    <definedName name="QB_ROW_3332500" localSheetId="11" hidden="1">'P&amp;L.current'!$H$59</definedName>
    <definedName name="QB_ROW_3332500" localSheetId="12" hidden="1">'P&amp;L.prior'!$H$59</definedName>
    <definedName name="QB_ROW_334250" localSheetId="7" hidden="1">BS.current!$H$73</definedName>
    <definedName name="QB_ROW_335240" localSheetId="7" hidden="1">BS.current!$G$38</definedName>
    <definedName name="QB_ROW_335240" localSheetId="9" hidden="1">'BS.multi year'!$G$40</definedName>
    <definedName name="QB_ROW_335240" localSheetId="8" hidden="1">BS.prior!$G$40</definedName>
    <definedName name="QB_ROW_3362500" localSheetId="10" hidden="1">'BS by month'!$H$132</definedName>
    <definedName name="QB_ROW_3362500" localSheetId="13" hidden="1">'P&amp;L.by month'!$H$132</definedName>
    <definedName name="QB_ROW_3362500" localSheetId="11" hidden="1">'P&amp;L.current'!$H$132</definedName>
    <definedName name="QB_ROW_3362500" localSheetId="12" hidden="1">'P&amp;L.prior'!$H$132</definedName>
    <definedName name="QB_ROW_3372400" localSheetId="10" hidden="1">'BS by month'!$G$17</definedName>
    <definedName name="QB_ROW_3372400" localSheetId="13" hidden="1">'P&amp;L.by month'!$G$17</definedName>
    <definedName name="QB_ROW_3372400" localSheetId="11" hidden="1">'P&amp;L.current'!$G$17</definedName>
    <definedName name="QB_ROW_3372400" localSheetId="12" hidden="1">'P&amp;L.prior'!$G$17</definedName>
    <definedName name="QB_ROW_3382400" localSheetId="10" hidden="1">'BS by month'!$G$16</definedName>
    <definedName name="QB_ROW_3382400" localSheetId="13" hidden="1">'P&amp;L.by month'!$G$16</definedName>
    <definedName name="QB_ROW_3382400" localSheetId="11" hidden="1">'P&amp;L.current'!$G$16</definedName>
    <definedName name="QB_ROW_3382400" localSheetId="12" hidden="1">'P&amp;L.prior'!$G$16</definedName>
    <definedName name="QB_ROW_342240" localSheetId="7" hidden="1">BS.current!$G$40</definedName>
    <definedName name="QB_ROW_342240" localSheetId="9" hidden="1">'BS.multi year'!$G$42</definedName>
    <definedName name="QB_ROW_342240" localSheetId="8" hidden="1">BS.prior!$G$42</definedName>
    <definedName name="QB_ROW_3432500" localSheetId="10" hidden="1">'BS by month'!$H$144</definedName>
    <definedName name="QB_ROW_3432500" localSheetId="13" hidden="1">'P&amp;L.by month'!$H$144</definedName>
    <definedName name="QB_ROW_3432500" localSheetId="11" hidden="1">'P&amp;L.current'!$H$144</definedName>
    <definedName name="QB_ROW_3432500" localSheetId="12" hidden="1">'P&amp;L.prior'!$H$144</definedName>
    <definedName name="QB_ROW_3452500" localSheetId="10" hidden="1">'BS by month'!$H$52</definedName>
    <definedName name="QB_ROW_3452500" localSheetId="13" hidden="1">'P&amp;L.by month'!$H$52</definedName>
    <definedName name="QB_ROW_3452500" localSheetId="11" hidden="1">'P&amp;L.current'!$H$52</definedName>
    <definedName name="QB_ROW_3452500" localSheetId="12" hidden="1">'P&amp;L.prior'!$H$52</definedName>
    <definedName name="QB_ROW_3502500" localSheetId="10" hidden="1">'BS by month'!$H$60</definedName>
    <definedName name="QB_ROW_3502500" localSheetId="13" hidden="1">'P&amp;L.by month'!$H$60</definedName>
    <definedName name="QB_ROW_3502500" localSheetId="11" hidden="1">'P&amp;L.current'!$H$60</definedName>
    <definedName name="QB_ROW_3502500" localSheetId="12" hidden="1">'P&amp;L.prior'!$H$60</definedName>
    <definedName name="QB_ROW_352500" localSheetId="10" hidden="1">'BS by month'!$H$136</definedName>
    <definedName name="QB_ROW_352500" localSheetId="13" hidden="1">'P&amp;L.by month'!$H$136</definedName>
    <definedName name="QB_ROW_352500" localSheetId="11" hidden="1">'P&amp;L.current'!$H$136</definedName>
    <definedName name="QB_ROW_352500" localSheetId="12" hidden="1">'P&amp;L.prior'!$H$136</definedName>
    <definedName name="QB_ROW_3540400" localSheetId="10" hidden="1">'BS by month'!$G$22</definedName>
    <definedName name="QB_ROW_3540400" localSheetId="13" hidden="1">'P&amp;L.by month'!$G$22</definedName>
    <definedName name="QB_ROW_3540400" localSheetId="11" hidden="1">'P&amp;L.current'!$G$22</definedName>
    <definedName name="QB_ROW_3540400" localSheetId="12" hidden="1">'P&amp;L.prior'!$G$22</definedName>
    <definedName name="QB_ROW_3543400" localSheetId="10" hidden="1">'BS by month'!$G$26</definedName>
    <definedName name="QB_ROW_3543400" localSheetId="13" hidden="1">'P&amp;L.by month'!$G$26</definedName>
    <definedName name="QB_ROW_3543400" localSheetId="11" hidden="1">'P&amp;L.current'!$G$26</definedName>
    <definedName name="QB_ROW_3543400" localSheetId="12" hidden="1">'P&amp;L.prior'!$G$26</definedName>
    <definedName name="QB_ROW_3550400" localSheetId="10" hidden="1">'BS by month'!$G$28</definedName>
    <definedName name="QB_ROW_3550400" localSheetId="13" hidden="1">'P&amp;L.by month'!$G$28</definedName>
    <definedName name="QB_ROW_3550400" localSheetId="11" hidden="1">'P&amp;L.current'!$G$28</definedName>
    <definedName name="QB_ROW_3550400" localSheetId="12" hidden="1">'P&amp;L.prior'!$G$28</definedName>
    <definedName name="QB_ROW_3553400" localSheetId="10" hidden="1">'BS by month'!$G$30</definedName>
    <definedName name="QB_ROW_3553400" localSheetId="13" hidden="1">'P&amp;L.by month'!$G$30</definedName>
    <definedName name="QB_ROW_3553400" localSheetId="11" hidden="1">'P&amp;L.current'!$G$30</definedName>
    <definedName name="QB_ROW_3553400" localSheetId="12" hidden="1">'P&amp;L.prior'!$G$30</definedName>
    <definedName name="QB_ROW_356240" localSheetId="7" hidden="1">BS.current!$G$44</definedName>
    <definedName name="QB_ROW_356240" localSheetId="9" hidden="1">'BS.multi year'!$G$46</definedName>
    <definedName name="QB_ROW_356240" localSheetId="8" hidden="1">BS.prior!$G$46</definedName>
    <definedName name="QB_ROW_357240" localSheetId="7" hidden="1">BS.current!$G$46</definedName>
    <definedName name="QB_ROW_357240" localSheetId="9" hidden="1">'BS.multi year'!$G$48</definedName>
    <definedName name="QB_ROW_357240" localSheetId="8" hidden="1">BS.prior!$G$48</definedName>
    <definedName name="QB_ROW_358030" localSheetId="7" hidden="1">BS.current!$F$42</definedName>
    <definedName name="QB_ROW_358030" localSheetId="9" hidden="1">'BS.multi year'!$F$44</definedName>
    <definedName name="QB_ROW_358030" localSheetId="8" hidden="1">BS.prior!$F$44</definedName>
    <definedName name="QB_ROW_358330" localSheetId="7" hidden="1">BS.current!$F$47</definedName>
    <definedName name="QB_ROW_358330" localSheetId="9" hidden="1">'BS.multi year'!$F$49</definedName>
    <definedName name="QB_ROW_358330" localSheetId="8" hidden="1">BS.prior!$F$49</definedName>
    <definedName name="QB_ROW_359030" localSheetId="7" hidden="1">BS.current!$F$36</definedName>
    <definedName name="QB_ROW_359030" localSheetId="9" hidden="1">'BS.multi year'!$F$38</definedName>
    <definedName name="QB_ROW_359030" localSheetId="8" hidden="1">BS.prior!$F$38</definedName>
    <definedName name="QB_ROW_359330" localSheetId="7" hidden="1">BS.current!$F$41</definedName>
    <definedName name="QB_ROW_359330" localSheetId="9" hidden="1">'BS.multi year'!$F$43</definedName>
    <definedName name="QB_ROW_359330" localSheetId="8" hidden="1">BS.prior!$F$43</definedName>
    <definedName name="QB_ROW_360030" localSheetId="9" hidden="1">'BS.multi year'!$F$25</definedName>
    <definedName name="QB_ROW_360030" localSheetId="8" hidden="1">BS.prior!$F$25</definedName>
    <definedName name="QB_ROW_360330" localSheetId="9" hidden="1">'BS.multi year'!$F$27</definedName>
    <definedName name="QB_ROW_360330" localSheetId="8" hidden="1">BS.prior!$F$27</definedName>
    <definedName name="QB_ROW_361030" localSheetId="7" hidden="1">BS.current!$F$13</definedName>
    <definedName name="QB_ROW_361030" localSheetId="9" hidden="1">'BS.multi year'!$F$13</definedName>
    <definedName name="QB_ROW_361030" localSheetId="8" hidden="1">BS.prior!$F$13</definedName>
    <definedName name="QB_ROW_361330" localSheetId="7" hidden="1">BS.current!$F$16</definedName>
    <definedName name="QB_ROW_361330" localSheetId="9" hidden="1">'BS.multi year'!$F$16</definedName>
    <definedName name="QB_ROW_361330" localSheetId="8" hidden="1">BS.prior!$F$16</definedName>
    <definedName name="QB_ROW_3642500" localSheetId="10" hidden="1">'BS by month'!$H$53</definedName>
    <definedName name="QB_ROW_3642500" localSheetId="13" hidden="1">'P&amp;L.by month'!$H$53</definedName>
    <definedName name="QB_ROW_3642500" localSheetId="11" hidden="1">'P&amp;L.current'!$H$53</definedName>
    <definedName name="QB_ROW_3642500" localSheetId="12" hidden="1">'P&amp;L.prior'!$H$53</definedName>
    <definedName name="QB_ROW_3670400" localSheetId="10" hidden="1">'BS by month'!$G$11</definedName>
    <definedName name="QB_ROW_3670400" localSheetId="13" hidden="1">'P&amp;L.by month'!$G$11</definedName>
    <definedName name="QB_ROW_3670400" localSheetId="11" hidden="1">'P&amp;L.current'!$G$11</definedName>
    <definedName name="QB_ROW_3670400" localSheetId="12" hidden="1">'P&amp;L.prior'!$G$11</definedName>
    <definedName name="QB_ROW_3673400" localSheetId="10" hidden="1">'BS by month'!$G$14</definedName>
    <definedName name="QB_ROW_3673400" localSheetId="13" hidden="1">'P&amp;L.by month'!$G$14</definedName>
    <definedName name="QB_ROW_3673400" localSheetId="11" hidden="1">'P&amp;L.current'!$G$14</definedName>
    <definedName name="QB_ROW_3673400" localSheetId="12" hidden="1">'P&amp;L.prior'!$G$14</definedName>
    <definedName name="QB_ROW_368250" localSheetId="7" hidden="1">BS.current!$H$74</definedName>
    <definedName name="QB_ROW_3690400" localSheetId="10" hidden="1">'BS by month'!$G$62</definedName>
    <definedName name="QB_ROW_3690400" localSheetId="13" hidden="1">'P&amp;L.by month'!$G$62</definedName>
    <definedName name="QB_ROW_3690400" localSheetId="11" hidden="1">'P&amp;L.current'!$G$62</definedName>
    <definedName name="QB_ROW_3690400" localSheetId="12" hidden="1">'P&amp;L.prior'!$G$62</definedName>
    <definedName name="QB_ROW_3692500" localSheetId="10" hidden="1">'BS by month'!$H$65</definedName>
    <definedName name="QB_ROW_3692500" localSheetId="13" hidden="1">'P&amp;L.by month'!$H$65</definedName>
    <definedName name="QB_ROW_3692500" localSheetId="11" hidden="1">'P&amp;L.current'!$H$65</definedName>
    <definedName name="QB_ROW_3692500" localSheetId="12" hidden="1">'P&amp;L.prior'!$H$65</definedName>
    <definedName name="QB_ROW_3693400" localSheetId="10" hidden="1">'BS by month'!$G$66</definedName>
    <definedName name="QB_ROW_3693400" localSheetId="13" hidden="1">'P&amp;L.by month'!$G$66</definedName>
    <definedName name="QB_ROW_3693400" localSheetId="11" hidden="1">'P&amp;L.current'!$G$66</definedName>
    <definedName name="QB_ROW_3693400" localSheetId="12" hidden="1">'P&amp;L.prior'!$G$66</definedName>
    <definedName name="QB_ROW_3700400" localSheetId="10" hidden="1">'BS by month'!$G$67</definedName>
    <definedName name="QB_ROW_3700400" localSheetId="13" hidden="1">'P&amp;L.by month'!$G$67</definedName>
    <definedName name="QB_ROW_3700400" localSheetId="11" hidden="1">'P&amp;L.current'!$G$67</definedName>
    <definedName name="QB_ROW_3700400" localSheetId="12" hidden="1">'P&amp;L.prior'!$G$67</definedName>
    <definedName name="QB_ROW_3703400" localSheetId="10" hidden="1">'BS by month'!$G$71</definedName>
    <definedName name="QB_ROW_3703400" localSheetId="13" hidden="1">'P&amp;L.by month'!$G$71</definedName>
    <definedName name="QB_ROW_3703400" localSheetId="11" hidden="1">'P&amp;L.current'!$G$71</definedName>
    <definedName name="QB_ROW_3703400" localSheetId="12" hidden="1">'P&amp;L.prior'!$G$71</definedName>
    <definedName name="QB_ROW_3710400" localSheetId="10" hidden="1">'BS by month'!$G$72</definedName>
    <definedName name="QB_ROW_3710400" localSheetId="13" hidden="1">'P&amp;L.by month'!$G$72</definedName>
    <definedName name="QB_ROW_3710400" localSheetId="11" hidden="1">'P&amp;L.current'!$G$72</definedName>
    <definedName name="QB_ROW_3710400" localSheetId="12" hidden="1">'P&amp;L.prior'!$G$72</definedName>
    <definedName name="QB_ROW_3712500" localSheetId="10" hidden="1">'BS by month'!$H$79</definedName>
    <definedName name="QB_ROW_3712500" localSheetId="13" hidden="1">'P&amp;L.by month'!$H$79</definedName>
    <definedName name="QB_ROW_3712500" localSheetId="11" hidden="1">'P&amp;L.current'!$H$79</definedName>
    <definedName name="QB_ROW_3712500" localSheetId="12" hidden="1">'P&amp;L.prior'!$H$79</definedName>
    <definedName name="QB_ROW_3713400" localSheetId="10" hidden="1">'BS by month'!$G$80</definedName>
    <definedName name="QB_ROW_3713400" localSheetId="13" hidden="1">'P&amp;L.by month'!$G$80</definedName>
    <definedName name="QB_ROW_3713400" localSheetId="11" hidden="1">'P&amp;L.current'!$G$80</definedName>
    <definedName name="QB_ROW_3713400" localSheetId="12" hidden="1">'P&amp;L.prior'!$G$80</definedName>
    <definedName name="QB_ROW_3720400" localSheetId="10" hidden="1">'BS by month'!$G$81</definedName>
    <definedName name="QB_ROW_3720400" localSheetId="13" hidden="1">'P&amp;L.by month'!$G$81</definedName>
    <definedName name="QB_ROW_3720400" localSheetId="11" hidden="1">'P&amp;L.current'!$G$81</definedName>
    <definedName name="QB_ROW_3720400" localSheetId="12" hidden="1">'P&amp;L.prior'!$G$81</definedName>
    <definedName name="QB_ROW_3723400" localSheetId="10" hidden="1">'BS by month'!$G$90</definedName>
    <definedName name="QB_ROW_3723400" localSheetId="13" hidden="1">'P&amp;L.by month'!$G$90</definedName>
    <definedName name="QB_ROW_3723400" localSheetId="11" hidden="1">'P&amp;L.current'!$G$90</definedName>
    <definedName name="QB_ROW_3723400" localSheetId="12" hidden="1">'P&amp;L.prior'!$G$90</definedName>
    <definedName name="QB_ROW_3730400" localSheetId="10" hidden="1">'BS by month'!$G$91</definedName>
    <definedName name="QB_ROW_3730400" localSheetId="13" hidden="1">'P&amp;L.by month'!$G$91</definedName>
    <definedName name="QB_ROW_3730400" localSheetId="11" hidden="1">'P&amp;L.current'!$G$91</definedName>
    <definedName name="QB_ROW_3730400" localSheetId="12" hidden="1">'P&amp;L.prior'!$G$91</definedName>
    <definedName name="QB_ROW_3733400" localSheetId="10" hidden="1">'BS by month'!$G$94</definedName>
    <definedName name="QB_ROW_3733400" localSheetId="13" hidden="1">'P&amp;L.by month'!$G$94</definedName>
    <definedName name="QB_ROW_3733400" localSheetId="11" hidden="1">'P&amp;L.current'!$G$94</definedName>
    <definedName name="QB_ROW_3733400" localSheetId="12" hidden="1">'P&amp;L.prior'!$G$94</definedName>
    <definedName name="QB_ROW_3740400" localSheetId="10" hidden="1">'BS by month'!$G$95</definedName>
    <definedName name="QB_ROW_3740400" localSheetId="13" hidden="1">'P&amp;L.by month'!$G$95</definedName>
    <definedName name="QB_ROW_3740400" localSheetId="11" hidden="1">'P&amp;L.current'!$G$95</definedName>
    <definedName name="QB_ROW_3740400" localSheetId="12" hidden="1">'P&amp;L.prior'!$G$95</definedName>
    <definedName name="QB_ROW_3742500" localSheetId="10" hidden="1">'BS by month'!$H$99</definedName>
    <definedName name="QB_ROW_3742500" localSheetId="13" hidden="1">'P&amp;L.by month'!$H$99</definedName>
    <definedName name="QB_ROW_3742500" localSheetId="11" hidden="1">'P&amp;L.current'!$H$99</definedName>
    <definedName name="QB_ROW_3742500" localSheetId="12" hidden="1">'P&amp;L.prior'!$H$99</definedName>
    <definedName name="QB_ROW_3743400" localSheetId="10" hidden="1">'BS by month'!$G$100</definedName>
    <definedName name="QB_ROW_3743400" localSheetId="13" hidden="1">'P&amp;L.by month'!$G$100</definedName>
    <definedName name="QB_ROW_3743400" localSheetId="11" hidden="1">'P&amp;L.current'!$G$100</definedName>
    <definedName name="QB_ROW_3743400" localSheetId="12" hidden="1">'P&amp;L.prior'!$G$100</definedName>
    <definedName name="QB_ROW_3750400" localSheetId="10" hidden="1">'BS by month'!$G$101</definedName>
    <definedName name="QB_ROW_3750400" localSheetId="13" hidden="1">'P&amp;L.by month'!$G$101</definedName>
    <definedName name="QB_ROW_3750400" localSheetId="11" hidden="1">'P&amp;L.current'!$G$101</definedName>
    <definedName name="QB_ROW_3750400" localSheetId="12" hidden="1">'P&amp;L.prior'!$G$101</definedName>
    <definedName name="QB_ROW_3752500" localSheetId="10" hidden="1">'BS by month'!$H$105</definedName>
    <definedName name="QB_ROW_3752500" localSheetId="13" hidden="1">'P&amp;L.by month'!$H$105</definedName>
    <definedName name="QB_ROW_3752500" localSheetId="11" hidden="1">'P&amp;L.current'!$H$105</definedName>
    <definedName name="QB_ROW_3752500" localSheetId="12" hidden="1">'P&amp;L.prior'!$H$105</definedName>
    <definedName name="QB_ROW_3753400" localSheetId="10" hidden="1">'BS by month'!$G$106</definedName>
    <definedName name="QB_ROW_3753400" localSheetId="13" hidden="1">'P&amp;L.by month'!$G$106</definedName>
    <definedName name="QB_ROW_3753400" localSheetId="11" hidden="1">'P&amp;L.current'!$G$106</definedName>
    <definedName name="QB_ROW_3753400" localSheetId="12" hidden="1">'P&amp;L.prior'!$G$106</definedName>
    <definedName name="QB_ROW_3760400" localSheetId="10" hidden="1">'BS by month'!$G$107</definedName>
    <definedName name="QB_ROW_3760400" localSheetId="13" hidden="1">'P&amp;L.by month'!$G$107</definedName>
    <definedName name="QB_ROW_3760400" localSheetId="11" hidden="1">'P&amp;L.current'!$G$107</definedName>
    <definedName name="QB_ROW_3760400" localSheetId="12" hidden="1">'P&amp;L.prior'!$G$107</definedName>
    <definedName name="QB_ROW_3763400" localSheetId="10" hidden="1">'BS by month'!$G$109</definedName>
    <definedName name="QB_ROW_3763400" localSheetId="13" hidden="1">'P&amp;L.by month'!$G$109</definedName>
    <definedName name="QB_ROW_3763400" localSheetId="11" hidden="1">'P&amp;L.current'!$G$109</definedName>
    <definedName name="QB_ROW_3763400" localSheetId="12" hidden="1">'P&amp;L.prior'!$G$109</definedName>
    <definedName name="QB_ROW_3770400" localSheetId="10" hidden="1">'BS by month'!$G$110</definedName>
    <definedName name="QB_ROW_3770400" localSheetId="13" hidden="1">'P&amp;L.by month'!$G$110</definedName>
    <definedName name="QB_ROW_3770400" localSheetId="11" hidden="1">'P&amp;L.current'!$G$110</definedName>
    <definedName name="QB_ROW_3770400" localSheetId="12" hidden="1">'P&amp;L.prior'!$G$110</definedName>
    <definedName name="QB_ROW_3773400" localSheetId="10" hidden="1">'BS by month'!$G$113</definedName>
    <definedName name="QB_ROW_3773400" localSheetId="13" hidden="1">'P&amp;L.by month'!$G$113</definedName>
    <definedName name="QB_ROW_3773400" localSheetId="11" hidden="1">'P&amp;L.current'!$G$113</definedName>
    <definedName name="QB_ROW_3773400" localSheetId="12" hidden="1">'P&amp;L.prior'!$G$113</definedName>
    <definedName name="QB_ROW_3780400" localSheetId="10" hidden="1">'BS by month'!$G$114</definedName>
    <definedName name="QB_ROW_3780400" localSheetId="13" hidden="1">'P&amp;L.by month'!$G$114</definedName>
    <definedName name="QB_ROW_3780400" localSheetId="11" hidden="1">'P&amp;L.current'!$G$114</definedName>
    <definedName name="QB_ROW_3780400" localSheetId="12" hidden="1">'P&amp;L.prior'!$G$114</definedName>
    <definedName name="QB_ROW_3782500" localSheetId="10" hidden="1">'BS by month'!$H$116</definedName>
    <definedName name="QB_ROW_3782500" localSheetId="13" hidden="1">'P&amp;L.by month'!$H$116</definedName>
    <definedName name="QB_ROW_3782500" localSheetId="11" hidden="1">'P&amp;L.current'!$H$116</definedName>
    <definedName name="QB_ROW_3782500" localSheetId="12" hidden="1">'P&amp;L.prior'!$H$116</definedName>
    <definedName name="QB_ROW_3783400" localSheetId="10" hidden="1">'BS by month'!$G$117</definedName>
    <definedName name="QB_ROW_3783400" localSheetId="13" hidden="1">'P&amp;L.by month'!$G$117</definedName>
    <definedName name="QB_ROW_3783400" localSheetId="11" hidden="1">'P&amp;L.current'!$G$117</definedName>
    <definedName name="QB_ROW_3783400" localSheetId="12" hidden="1">'P&amp;L.prior'!$G$117</definedName>
    <definedName name="QB_ROW_3790400" localSheetId="10" hidden="1">'BS by month'!$G$118</definedName>
    <definedName name="QB_ROW_3790400" localSheetId="13" hidden="1">'P&amp;L.by month'!$G$118</definedName>
    <definedName name="QB_ROW_3790400" localSheetId="11" hidden="1">'P&amp;L.current'!$G$118</definedName>
    <definedName name="QB_ROW_3790400" localSheetId="12" hidden="1">'P&amp;L.prior'!$G$118</definedName>
    <definedName name="QB_ROW_3792500" localSheetId="10" hidden="1">'BS by month'!$H$123</definedName>
    <definedName name="QB_ROW_3792500" localSheetId="13" hidden="1">'P&amp;L.by month'!$H$123</definedName>
    <definedName name="QB_ROW_3792500" localSheetId="11" hidden="1">'P&amp;L.current'!$H$123</definedName>
    <definedName name="QB_ROW_3792500" localSheetId="12" hidden="1">'P&amp;L.prior'!$H$123</definedName>
    <definedName name="QB_ROW_3793400" localSheetId="10" hidden="1">'BS by month'!$G$124</definedName>
    <definedName name="QB_ROW_3793400" localSheetId="13" hidden="1">'P&amp;L.by month'!$G$124</definedName>
    <definedName name="QB_ROW_3793400" localSheetId="11" hidden="1">'P&amp;L.current'!$G$124</definedName>
    <definedName name="QB_ROW_3793400" localSheetId="12" hidden="1">'P&amp;L.prior'!$G$124</definedName>
    <definedName name="QB_ROW_3800400" localSheetId="10" hidden="1">'BS by month'!$G$125</definedName>
    <definedName name="QB_ROW_3800400" localSheetId="13" hidden="1">'P&amp;L.by month'!$G$125</definedName>
    <definedName name="QB_ROW_3800400" localSheetId="11" hidden="1">'P&amp;L.current'!$G$125</definedName>
    <definedName name="QB_ROW_3800400" localSheetId="12" hidden="1">'P&amp;L.prior'!$G$125</definedName>
    <definedName name="QB_ROW_3803400" localSheetId="10" hidden="1">'BS by month'!$G$134</definedName>
    <definedName name="QB_ROW_3803400" localSheetId="13" hidden="1">'P&amp;L.by month'!$G$134</definedName>
    <definedName name="QB_ROW_3803400" localSheetId="11" hidden="1">'P&amp;L.current'!$G$134</definedName>
    <definedName name="QB_ROW_3803400" localSheetId="12" hidden="1">'P&amp;L.prior'!$G$134</definedName>
    <definedName name="QB_ROW_3820400" localSheetId="10" hidden="1">'BS by month'!$G$135</definedName>
    <definedName name="QB_ROW_3820400" localSheetId="13" hidden="1">'P&amp;L.by month'!$G$135</definedName>
    <definedName name="QB_ROW_3820400" localSheetId="11" hidden="1">'P&amp;L.current'!$G$135</definedName>
    <definedName name="QB_ROW_3820400" localSheetId="12" hidden="1">'P&amp;L.prior'!$G$135</definedName>
    <definedName name="QB_ROW_3823400" localSheetId="10" hidden="1">'BS by month'!$G$139</definedName>
    <definedName name="QB_ROW_3823400" localSheetId="13" hidden="1">'P&amp;L.by month'!$G$139</definedName>
    <definedName name="QB_ROW_3823400" localSheetId="11" hidden="1">'P&amp;L.current'!$G$139</definedName>
    <definedName name="QB_ROW_3823400" localSheetId="12" hidden="1">'P&amp;L.prior'!$G$139</definedName>
    <definedName name="QB_ROW_382500" localSheetId="10" hidden="1">'BS by month'!$H$63</definedName>
    <definedName name="QB_ROW_382500" localSheetId="13" hidden="1">'P&amp;L.by month'!$H$63</definedName>
    <definedName name="QB_ROW_382500" localSheetId="11" hidden="1">'P&amp;L.current'!$H$63</definedName>
    <definedName name="QB_ROW_382500" localSheetId="12" hidden="1">'P&amp;L.prior'!$H$63</definedName>
    <definedName name="QB_ROW_3830400" localSheetId="10" hidden="1">'BS by month'!$G$146</definedName>
    <definedName name="QB_ROW_3830400" localSheetId="13" hidden="1">'P&amp;L.by month'!$G$146</definedName>
    <definedName name="QB_ROW_3830400" localSheetId="11" hidden="1">'P&amp;L.current'!$G$146</definedName>
    <definedName name="QB_ROW_3830400" localSheetId="12" hidden="1">'P&amp;L.prior'!$G$146</definedName>
    <definedName name="QB_ROW_3833400" localSheetId="10" hidden="1">'BS by month'!$G$150</definedName>
    <definedName name="QB_ROW_3833400" localSheetId="13" hidden="1">'P&amp;L.by month'!$G$150</definedName>
    <definedName name="QB_ROW_3833400" localSheetId="11" hidden="1">'P&amp;L.current'!$G$150</definedName>
    <definedName name="QB_ROW_3833400" localSheetId="12" hidden="1">'P&amp;L.prior'!$G$150</definedName>
    <definedName name="QB_ROW_3840400" localSheetId="10" hidden="1">'BS by month'!$G$140</definedName>
    <definedName name="QB_ROW_3840400" localSheetId="13" hidden="1">'P&amp;L.by month'!$G$140</definedName>
    <definedName name="QB_ROW_3840400" localSheetId="11" hidden="1">'P&amp;L.current'!$G$140</definedName>
    <definedName name="QB_ROW_3840400" localSheetId="12" hidden="1">'P&amp;L.prior'!$G$140</definedName>
    <definedName name="QB_ROW_3843400" localSheetId="10" hidden="1">'BS by month'!$G$145</definedName>
    <definedName name="QB_ROW_3843400" localSheetId="13" hidden="1">'P&amp;L.by month'!$G$145</definedName>
    <definedName name="QB_ROW_3843400" localSheetId="11" hidden="1">'P&amp;L.current'!$G$145</definedName>
    <definedName name="QB_ROW_3843400" localSheetId="12" hidden="1">'P&amp;L.prior'!$G$145</definedName>
    <definedName name="QB_ROW_385030" localSheetId="7" hidden="1">BS.current!$F$19</definedName>
    <definedName name="QB_ROW_385030" localSheetId="9" hidden="1">'BS.multi year'!$F$19</definedName>
    <definedName name="QB_ROW_385030" localSheetId="8" hidden="1">BS.prior!$F$19</definedName>
    <definedName name="QB_ROW_385330" localSheetId="7" hidden="1">BS.current!$F$22</definedName>
    <definedName name="QB_ROW_385330" localSheetId="9" hidden="1">'BS.multi year'!$F$22</definedName>
    <definedName name="QB_ROW_385330" localSheetId="8" hidden="1">BS.prior!$F$22</definedName>
    <definedName name="QB_ROW_386040" localSheetId="7" hidden="1">BS.current!$G$68</definedName>
    <definedName name="QB_ROW_386040" localSheetId="9" hidden="1">'BS.multi year'!$G$68</definedName>
    <definedName name="QB_ROW_386040" localSheetId="8" hidden="1">BS.prior!$G$68</definedName>
    <definedName name="QB_ROW_386340" localSheetId="7" hidden="1">BS.current!$G$75</definedName>
    <definedName name="QB_ROW_386340" localSheetId="9" hidden="1">'BS.multi year'!$G$70</definedName>
    <definedName name="QB_ROW_386340" localSheetId="8" hidden="1">BS.prior!$G$70</definedName>
    <definedName name="QB_ROW_387030" localSheetId="7" hidden="1">BS.current!$F$28</definedName>
    <definedName name="QB_ROW_387030" localSheetId="9" hidden="1">'BS.multi year'!$F$30</definedName>
    <definedName name="QB_ROW_387030" localSheetId="8" hidden="1">BS.prior!$F$30</definedName>
    <definedName name="QB_ROW_387330" localSheetId="7" hidden="1">BS.current!$F$30</definedName>
    <definedName name="QB_ROW_387330" localSheetId="9" hidden="1">'BS.multi year'!$F$32</definedName>
    <definedName name="QB_ROW_387330" localSheetId="8" hidden="1">BS.prior!$F$32</definedName>
    <definedName name="QB_ROW_388020" localSheetId="7" hidden="1">BS.current!$E$35</definedName>
    <definedName name="QB_ROW_388020" localSheetId="9" hidden="1">'BS.multi year'!$E$37</definedName>
    <definedName name="QB_ROW_388020" localSheetId="8" hidden="1">BS.prior!$E$37</definedName>
    <definedName name="QB_ROW_388320" localSheetId="7" hidden="1">BS.current!$E$48</definedName>
    <definedName name="QB_ROW_388320" localSheetId="9" hidden="1">'BS.multi year'!$E$50</definedName>
    <definedName name="QB_ROW_388320" localSheetId="8" hidden="1">BS.prior!$E$50</definedName>
    <definedName name="QB_ROW_389040" localSheetId="9" hidden="1">'BS.multi year'!$G$65</definedName>
    <definedName name="QB_ROW_389040" localSheetId="8" hidden="1">BS.prior!$G$65</definedName>
    <definedName name="QB_ROW_389340" localSheetId="9" hidden="1">'BS.multi year'!$G$67</definedName>
    <definedName name="QB_ROW_389340" localSheetId="8" hidden="1">BS.prior!$G$67</definedName>
    <definedName name="QB_ROW_3910400" localSheetId="10" hidden="1">'BS by month'!$G$6</definedName>
    <definedName name="QB_ROW_3910400" localSheetId="13" hidden="1">'P&amp;L.by month'!$G$6</definedName>
    <definedName name="QB_ROW_3910400" localSheetId="11" hidden="1">'P&amp;L.current'!$G$6</definedName>
    <definedName name="QB_ROW_3910400" localSheetId="12" hidden="1">'P&amp;L.prior'!$G$6</definedName>
    <definedName name="QB_ROW_3913400" localSheetId="10" hidden="1">'BS by month'!$G$10</definedName>
    <definedName name="QB_ROW_3913400" localSheetId="13" hidden="1">'P&amp;L.by month'!$G$10</definedName>
    <definedName name="QB_ROW_3913400" localSheetId="11" hidden="1">'P&amp;L.current'!$G$10</definedName>
    <definedName name="QB_ROW_3913400" localSheetId="12" hidden="1">'P&amp;L.prior'!$G$10</definedName>
    <definedName name="QB_ROW_3920400" localSheetId="10" hidden="1">'BS by month'!$G$18</definedName>
    <definedName name="QB_ROW_3920400" localSheetId="13" hidden="1">'P&amp;L.by month'!$G$18</definedName>
    <definedName name="QB_ROW_3920400" localSheetId="11" hidden="1">'P&amp;L.current'!$G$18</definedName>
    <definedName name="QB_ROW_3920400" localSheetId="12" hidden="1">'P&amp;L.prior'!$G$18</definedName>
    <definedName name="QB_ROW_3923400" localSheetId="10" hidden="1">'BS by month'!$G$21</definedName>
    <definedName name="QB_ROW_3923400" localSheetId="13" hidden="1">'P&amp;L.by month'!$G$21</definedName>
    <definedName name="QB_ROW_3923400" localSheetId="11" hidden="1">'P&amp;L.current'!$G$21</definedName>
    <definedName name="QB_ROW_3923400" localSheetId="12" hidden="1">'P&amp;L.prior'!$G$21</definedName>
    <definedName name="QB_ROW_392500" localSheetId="10" hidden="1">'BS by month'!$H$112</definedName>
    <definedName name="QB_ROW_392500" localSheetId="13" hidden="1">'P&amp;L.by month'!$H$112</definedName>
    <definedName name="QB_ROW_392500" localSheetId="11" hidden="1">'P&amp;L.current'!$H$112</definedName>
    <definedName name="QB_ROW_392500" localSheetId="12" hidden="1">'P&amp;L.prior'!$H$112</definedName>
    <definedName name="QB_ROW_3930400" localSheetId="10" hidden="1">'BS by month'!$G$32</definedName>
    <definedName name="QB_ROW_3930400" localSheetId="13" hidden="1">'P&amp;L.by month'!$G$32</definedName>
    <definedName name="QB_ROW_3930400" localSheetId="11" hidden="1">'P&amp;L.current'!$G$32</definedName>
    <definedName name="QB_ROW_3930400" localSheetId="12" hidden="1">'P&amp;L.prior'!$G$32</definedName>
    <definedName name="QB_ROW_3933400" localSheetId="10" hidden="1">'BS by month'!$G$34</definedName>
    <definedName name="QB_ROW_3933400" localSheetId="13" hidden="1">'P&amp;L.by month'!$G$34</definedName>
    <definedName name="QB_ROW_3933400" localSheetId="11" hidden="1">'P&amp;L.current'!$G$34</definedName>
    <definedName name="QB_ROW_3933400" localSheetId="12" hidden="1">'P&amp;L.prior'!$G$34</definedName>
    <definedName name="QB_ROW_3940400" localSheetId="10" hidden="1">'BS by month'!$G$35</definedName>
    <definedName name="QB_ROW_3940400" localSheetId="13" hidden="1">'P&amp;L.by month'!$G$35</definedName>
    <definedName name="QB_ROW_3940400" localSheetId="11" hidden="1">'P&amp;L.current'!$G$35</definedName>
    <definedName name="QB_ROW_3940400" localSheetId="12" hidden="1">'P&amp;L.prior'!$G$35</definedName>
    <definedName name="QB_ROW_3943400" localSheetId="10" hidden="1">'BS by month'!$G$38</definedName>
    <definedName name="QB_ROW_3943400" localSheetId="13" hidden="1">'P&amp;L.by month'!$G$38</definedName>
    <definedName name="QB_ROW_3943400" localSheetId="11" hidden="1">'P&amp;L.current'!$G$38</definedName>
    <definedName name="QB_ROW_3943400" localSheetId="12" hidden="1">'P&amp;L.prior'!$G$38</definedName>
    <definedName name="QB_ROW_3950400" localSheetId="10" hidden="1">'BS by month'!$G$45</definedName>
    <definedName name="QB_ROW_3950400" localSheetId="13" hidden="1">'P&amp;L.by month'!$G$45</definedName>
    <definedName name="QB_ROW_3950400" localSheetId="11" hidden="1">'P&amp;L.current'!$G$45</definedName>
    <definedName name="QB_ROW_3950400" localSheetId="12" hidden="1">'P&amp;L.prior'!$G$45</definedName>
    <definedName name="QB_ROW_3952500" localSheetId="10" hidden="1">'BS by month'!$H$48</definedName>
    <definedName name="QB_ROW_3952500" localSheetId="13" hidden="1">'P&amp;L.by month'!$H$48</definedName>
    <definedName name="QB_ROW_3952500" localSheetId="11" hidden="1">'P&amp;L.current'!$H$48</definedName>
    <definedName name="QB_ROW_3952500" localSheetId="12" hidden="1">'P&amp;L.prior'!$H$48</definedName>
    <definedName name="QB_ROW_3953400" localSheetId="10" hidden="1">'BS by month'!$G$49</definedName>
    <definedName name="QB_ROW_3953400" localSheetId="13" hidden="1">'P&amp;L.by month'!$G$49</definedName>
    <definedName name="QB_ROW_3953400" localSheetId="11" hidden="1">'P&amp;L.current'!$G$49</definedName>
    <definedName name="QB_ROW_3953400" localSheetId="12" hidden="1">'P&amp;L.prior'!$G$49</definedName>
    <definedName name="QB_ROW_3962500" localSheetId="10" hidden="1">'BS by month'!$H$47</definedName>
    <definedName name="QB_ROW_3962500" localSheetId="13" hidden="1">'P&amp;L.by month'!$H$47</definedName>
    <definedName name="QB_ROW_3962500" localSheetId="11" hidden="1">'P&amp;L.current'!$H$47</definedName>
    <definedName name="QB_ROW_3962500" localSheetId="12" hidden="1">'P&amp;L.prior'!$H$47</definedName>
    <definedName name="QB_ROW_3972300" localSheetId="10" hidden="1">'BS by month'!$F$155</definedName>
    <definedName name="QB_ROW_3972300" localSheetId="13" hidden="1">'P&amp;L.by month'!$F$155</definedName>
    <definedName name="QB_ROW_3972300" localSheetId="11" hidden="1">'P&amp;L.current'!$F$155</definedName>
    <definedName name="QB_ROW_3972300" localSheetId="12" hidden="1">'P&amp;L.prior'!$F$155</definedName>
    <definedName name="QB_ROW_398240" localSheetId="7" hidden="1">BS.current!$G$21</definedName>
    <definedName name="QB_ROW_398240" localSheetId="9" hidden="1">'BS.multi year'!$G$21</definedName>
    <definedName name="QB_ROW_398240" localSheetId="8" hidden="1">BS.prior!$G$21</definedName>
    <definedName name="QB_ROW_3992400" localSheetId="10" hidden="1">'BS by month'!$G$15</definedName>
    <definedName name="QB_ROW_3992400" localSheetId="13" hidden="1">'P&amp;L.by month'!$G$15</definedName>
    <definedName name="QB_ROW_3992400" localSheetId="11" hidden="1">'P&amp;L.current'!$G$15</definedName>
    <definedName name="QB_ROW_3992400" localSheetId="12" hidden="1">'P&amp;L.prior'!$G$15</definedName>
    <definedName name="QB_ROW_4021" localSheetId="7" hidden="1">BS.current!$E$24</definedName>
    <definedName name="QB_ROW_4021" localSheetId="9" hidden="1">'BS.multi year'!$E$24</definedName>
    <definedName name="QB_ROW_4021" localSheetId="8" hidden="1">BS.prior!$E$24</definedName>
    <definedName name="QB_ROW_402500" localSheetId="10" hidden="1">'BS by month'!$H$37</definedName>
    <definedName name="QB_ROW_402500" localSheetId="13" hidden="1">'P&amp;L.by month'!$H$37</definedName>
    <definedName name="QB_ROW_402500" localSheetId="11" hidden="1">'P&amp;L.current'!$H$37</definedName>
    <definedName name="QB_ROW_402500" localSheetId="12" hidden="1">'P&amp;L.prior'!$H$37</definedName>
    <definedName name="QB_ROW_412500" localSheetId="10" hidden="1">'BS by month'!$H$92</definedName>
    <definedName name="QB_ROW_412500" localSheetId="13" hidden="1">'P&amp;L.by month'!$H$92</definedName>
    <definedName name="QB_ROW_412500" localSheetId="11" hidden="1">'P&amp;L.current'!$H$92</definedName>
    <definedName name="QB_ROW_412500" localSheetId="12" hidden="1">'P&amp;L.prior'!$H$92</definedName>
    <definedName name="QB_ROW_422500" localSheetId="10" hidden="1">'BS by month'!$H$89</definedName>
    <definedName name="QB_ROW_422500" localSheetId="13" hidden="1">'P&amp;L.by month'!$H$89</definedName>
    <definedName name="QB_ROW_422500" localSheetId="11" hidden="1">'P&amp;L.current'!$H$89</definedName>
    <definedName name="QB_ROW_422500" localSheetId="12" hidden="1">'P&amp;L.prior'!$H$89</definedName>
    <definedName name="QB_ROW_4240" localSheetId="7" hidden="1">BS.current!$G$20</definedName>
    <definedName name="QB_ROW_4240" localSheetId="9" hidden="1">'BS.multi year'!$G$20</definedName>
    <definedName name="QB_ROW_4240" localSheetId="8" hidden="1">BS.prior!$G$20</definedName>
    <definedName name="QB_ROW_4321" localSheetId="7" hidden="1">BS.current!$E$32</definedName>
    <definedName name="QB_ROW_4321" localSheetId="9" hidden="1">'BS.multi year'!$E$34</definedName>
    <definedName name="QB_ROW_4321" localSheetId="8" hidden="1">BS.prior!$E$34</definedName>
    <definedName name="QB_ROW_432500" localSheetId="10" hidden="1">'BS by month'!$H$93</definedName>
    <definedName name="QB_ROW_432500" localSheetId="13" hidden="1">'P&amp;L.by month'!$H$93</definedName>
    <definedName name="QB_ROW_432500" localSheetId="11" hidden="1">'P&amp;L.current'!$H$93</definedName>
    <definedName name="QB_ROW_432500" localSheetId="12" hidden="1">'P&amp;L.prior'!$H$93</definedName>
    <definedName name="QB_ROW_442500" localSheetId="10" hidden="1">'BS by month'!$H$82</definedName>
    <definedName name="QB_ROW_442500" localSheetId="13" hidden="1">'P&amp;L.by month'!$H$82</definedName>
    <definedName name="QB_ROW_442500" localSheetId="11" hidden="1">'P&amp;L.current'!$H$82</definedName>
    <definedName name="QB_ROW_442500" localSheetId="12" hidden="1">'P&amp;L.prior'!$H$82</definedName>
    <definedName name="QB_ROW_472500" localSheetId="10" hidden="1">'BS by month'!$H$138</definedName>
    <definedName name="QB_ROW_472500" localSheetId="13" hidden="1">'P&amp;L.by month'!$H$138</definedName>
    <definedName name="QB_ROW_472500" localSheetId="11" hidden="1">'P&amp;L.current'!$H$138</definedName>
    <definedName name="QB_ROW_472500" localSheetId="12" hidden="1">'P&amp;L.prior'!$H$138</definedName>
    <definedName name="QB_ROW_482500" localSheetId="10" hidden="1">'BS by month'!$H$98</definedName>
    <definedName name="QB_ROW_482500" localSheetId="13" hidden="1">'P&amp;L.by month'!$H$98</definedName>
    <definedName name="QB_ROW_482500" localSheetId="11" hidden="1">'P&amp;L.current'!$H$98</definedName>
    <definedName name="QB_ROW_482500" localSheetId="12" hidden="1">'P&amp;L.prior'!$H$98</definedName>
    <definedName name="QB_ROW_5011" localSheetId="7" hidden="1">BS.current!$D$34</definedName>
    <definedName name="QB_ROW_5011" localSheetId="9" hidden="1">'BS.multi year'!$D$36</definedName>
    <definedName name="QB_ROW_5011" localSheetId="8" hidden="1">BS.prior!$D$36</definedName>
    <definedName name="QB_ROW_502500" localSheetId="10" hidden="1">'BS by month'!$H$122</definedName>
    <definedName name="QB_ROW_502500" localSheetId="13" hidden="1">'P&amp;L.by month'!$H$122</definedName>
    <definedName name="QB_ROW_502500" localSheetId="11" hidden="1">'P&amp;L.current'!$H$122</definedName>
    <definedName name="QB_ROW_502500" localSheetId="12" hidden="1">'P&amp;L.prior'!$H$122</definedName>
    <definedName name="QB_ROW_522500" localSheetId="10" hidden="1">'BS by month'!$H$76</definedName>
    <definedName name="QB_ROW_522500" localSheetId="13" hidden="1">'P&amp;L.by month'!$H$76</definedName>
    <definedName name="QB_ROW_522500" localSheetId="11" hidden="1">'P&amp;L.current'!$H$76</definedName>
    <definedName name="QB_ROW_522500" localSheetId="12" hidden="1">'P&amp;L.prior'!$H$76</definedName>
    <definedName name="QB_ROW_5240" localSheetId="7" hidden="1">BS.current!$G$55</definedName>
    <definedName name="QB_ROW_5240" localSheetId="9" hidden="1">'BS.multi year'!$G$57</definedName>
    <definedName name="QB_ROW_5240" localSheetId="8" hidden="1">BS.prior!$G$57</definedName>
    <definedName name="QB_ROW_5311" localSheetId="7" hidden="1">BS.current!$D$49</definedName>
    <definedName name="QB_ROW_5311" localSheetId="9" hidden="1">'BS.multi year'!$D$51</definedName>
    <definedName name="QB_ROW_5311" localSheetId="8" hidden="1">BS.prior!$D$51</definedName>
    <definedName name="QB_ROW_532500" localSheetId="10" hidden="1">'BS by month'!$H$104</definedName>
    <definedName name="QB_ROW_532500" localSheetId="13" hidden="1">'P&amp;L.by month'!$H$104</definedName>
    <definedName name="QB_ROW_532500" localSheetId="11" hidden="1">'P&amp;L.current'!$H$104</definedName>
    <definedName name="QB_ROW_532500" localSheetId="12" hidden="1">'P&amp;L.prior'!$H$104</definedName>
    <definedName name="QB_ROW_592500" localSheetId="10" hidden="1">'BS by month'!$H$24</definedName>
    <definedName name="QB_ROW_592500" localSheetId="13" hidden="1">'P&amp;L.by month'!$H$24</definedName>
    <definedName name="QB_ROW_592500" localSheetId="11" hidden="1">'P&amp;L.current'!$H$24</definedName>
    <definedName name="QB_ROW_592500" localSheetId="12" hidden="1">'P&amp;L.prior'!$H$24</definedName>
    <definedName name="QB_ROW_60040" localSheetId="7" hidden="1">BS.current!$G$58</definedName>
    <definedName name="QB_ROW_60040" localSheetId="9" hidden="1">'BS.multi year'!$G$60</definedName>
    <definedName name="QB_ROW_60040" localSheetId="8" hidden="1">BS.prior!$G$60</definedName>
    <definedName name="QB_ROW_60340" localSheetId="7" hidden="1">BS.current!$G$65</definedName>
    <definedName name="QB_ROW_60340" localSheetId="9" hidden="1">'BS.multi year'!$G$62</definedName>
    <definedName name="QB_ROW_60340" localSheetId="8" hidden="1">BS.prior!$G$62</definedName>
    <definedName name="QB_ROW_62230" localSheetId="7" hidden="1">BS.current!$F$26</definedName>
    <definedName name="QB_ROW_642500" localSheetId="10" hidden="1">'BS by month'!$H$88</definedName>
    <definedName name="QB_ROW_642500" localSheetId="13" hidden="1">'P&amp;L.by month'!$H$88</definedName>
    <definedName name="QB_ROW_642500" localSheetId="11" hidden="1">'P&amp;L.current'!$H$88</definedName>
    <definedName name="QB_ROW_642500" localSheetId="12" hidden="1">'P&amp;L.prior'!$H$88</definedName>
    <definedName name="QB_ROW_652500" localSheetId="10" hidden="1">'BS by month'!$H$85</definedName>
    <definedName name="QB_ROW_652500" localSheetId="13" hidden="1">'P&amp;L.by month'!$H$85</definedName>
    <definedName name="QB_ROW_652500" localSheetId="11" hidden="1">'P&amp;L.current'!$H$85</definedName>
    <definedName name="QB_ROW_652500" localSheetId="12" hidden="1">'P&amp;L.prior'!$H$85</definedName>
    <definedName name="QB_ROW_672500" localSheetId="10" hidden="1">'BS by month'!$H$111</definedName>
    <definedName name="QB_ROW_672500" localSheetId="13" hidden="1">'P&amp;L.by month'!$H$111</definedName>
    <definedName name="QB_ROW_672500" localSheetId="11" hidden="1">'P&amp;L.current'!$H$111</definedName>
    <definedName name="QB_ROW_672500" localSheetId="12" hidden="1">'P&amp;L.prior'!$H$111</definedName>
    <definedName name="QB_ROW_7001" localSheetId="7" hidden="1">BS.current!$C$51</definedName>
    <definedName name="QB_ROW_7001" localSheetId="9" hidden="1">'BS.multi year'!$C$53</definedName>
    <definedName name="QB_ROW_7001" localSheetId="8" hidden="1">BS.prior!$C$53</definedName>
    <definedName name="QB_ROW_7301" localSheetId="7" hidden="1">BS.current!$C$84</definedName>
    <definedName name="QB_ROW_7301" localSheetId="9" hidden="1">'BS.multi year'!$C$78</definedName>
    <definedName name="QB_ROW_7301" localSheetId="8" hidden="1">BS.prior!$C$78</definedName>
    <definedName name="QB_ROW_73240" localSheetId="7" hidden="1">BS.current!$G$9</definedName>
    <definedName name="QB_ROW_73240" localSheetId="9" hidden="1">'BS.multi year'!$G$9</definedName>
    <definedName name="QB_ROW_73240" localSheetId="8" hidden="1">BS.prior!$G$9</definedName>
    <definedName name="QB_ROW_742500" localSheetId="10" hidden="1">'BS by month'!$H$126</definedName>
    <definedName name="QB_ROW_742500" localSheetId="13" hidden="1">'P&amp;L.by month'!$H$126</definedName>
    <definedName name="QB_ROW_742500" localSheetId="11" hidden="1">'P&amp;L.current'!$H$126</definedName>
    <definedName name="QB_ROW_742500" localSheetId="12" hidden="1">'P&amp;L.prior'!$H$126</definedName>
    <definedName name="QB_ROW_752500" localSheetId="10" hidden="1">'BS by month'!$H$83</definedName>
    <definedName name="QB_ROW_752500" localSheetId="13" hidden="1">'P&amp;L.by month'!$H$83</definedName>
    <definedName name="QB_ROW_752500" localSheetId="11" hidden="1">'P&amp;L.current'!$H$83</definedName>
    <definedName name="QB_ROW_752500" localSheetId="12" hidden="1">'P&amp;L.prior'!$H$83</definedName>
    <definedName name="QB_ROW_76230" localSheetId="7" hidden="1">BS.current!$F$27</definedName>
    <definedName name="QB_ROW_76230" localSheetId="9" hidden="1">'BS.multi year'!$F$29</definedName>
    <definedName name="QB_ROW_76230" localSheetId="8" hidden="1">BS.prior!$F$29</definedName>
    <definedName name="QB_ROW_772400" localSheetId="10" hidden="1">'BS by month'!$G$41</definedName>
    <definedName name="QB_ROW_772400" localSheetId="13" hidden="1">'P&amp;L.by month'!$G$41</definedName>
    <definedName name="QB_ROW_772400" localSheetId="11" hidden="1">'P&amp;L.current'!$G$41</definedName>
    <definedName name="QB_ROW_772400" localSheetId="12" hidden="1">'P&amp;L.prior'!$G$41</definedName>
    <definedName name="QB_ROW_782500" localSheetId="10" hidden="1">'BS by month'!$H$69</definedName>
    <definedName name="QB_ROW_782500" localSheetId="13" hidden="1">'P&amp;L.by month'!$H$69</definedName>
    <definedName name="QB_ROW_782500" localSheetId="11" hidden="1">'P&amp;L.current'!$H$69</definedName>
    <definedName name="QB_ROW_782500" localSheetId="12" hidden="1">'P&amp;L.prior'!$H$69</definedName>
    <definedName name="QB_ROW_792500" localSheetId="10" hidden="1">'BS by month'!$H$121</definedName>
    <definedName name="QB_ROW_792500" localSheetId="13" hidden="1">'P&amp;L.by month'!$H$121</definedName>
    <definedName name="QB_ROW_792500" localSheetId="11" hidden="1">'P&amp;L.current'!$H$121</definedName>
    <definedName name="QB_ROW_792500" localSheetId="12" hidden="1">'P&amp;L.prior'!$H$121</definedName>
    <definedName name="QB_ROW_8011" localSheetId="7" hidden="1">BS.current!$D$52</definedName>
    <definedName name="QB_ROW_8011" localSheetId="9" hidden="1">'BS.multi year'!$D$54</definedName>
    <definedName name="QB_ROW_8011" localSheetId="8" hidden="1">BS.prior!$D$54</definedName>
    <definedName name="QB_ROW_812500" localSheetId="10" hidden="1">'BS by month'!$H$86</definedName>
    <definedName name="QB_ROW_812500" localSheetId="13" hidden="1">'P&amp;L.by month'!$H$86</definedName>
    <definedName name="QB_ROW_812500" localSheetId="11" hidden="1">'P&amp;L.current'!$H$86</definedName>
    <definedName name="QB_ROW_812500" localSheetId="12" hidden="1">'P&amp;L.prior'!$H$86</definedName>
    <definedName name="QB_ROW_82260" localSheetId="7" hidden="1">BS.current!$I$71</definedName>
    <definedName name="QB_ROW_8311" localSheetId="7" hidden="1">BS.current!$D$78</definedName>
    <definedName name="QB_ROW_8311" localSheetId="9" hidden="1">'BS.multi year'!$D$73</definedName>
    <definedName name="QB_ROW_8311" localSheetId="8" hidden="1">BS.prior!$D$73</definedName>
    <definedName name="QB_ROW_832500" localSheetId="10" hidden="1">'BS by month'!$H$131</definedName>
    <definedName name="QB_ROW_832500" localSheetId="13" hidden="1">'P&amp;L.by month'!$H$131</definedName>
    <definedName name="QB_ROW_832500" localSheetId="11" hidden="1">'P&amp;L.current'!$H$131</definedName>
    <definedName name="QB_ROW_832500" localSheetId="12" hidden="1">'P&amp;L.prior'!$H$131</definedName>
    <definedName name="QB_ROW_842500" localSheetId="10" hidden="1">'BS by month'!$H$102</definedName>
    <definedName name="QB_ROW_842500" localSheetId="13" hidden="1">'P&amp;L.by month'!$H$102</definedName>
    <definedName name="QB_ROW_842500" localSheetId="11" hidden="1">'P&amp;L.current'!$H$102</definedName>
    <definedName name="QB_ROW_842500" localSheetId="12" hidden="1">'P&amp;L.prior'!$H$102</definedName>
    <definedName name="QB_ROW_852500" localSheetId="10" hidden="1">'BS by month'!$H$12</definedName>
    <definedName name="QB_ROW_852500" localSheetId="13" hidden="1">'P&amp;L.by month'!$H$12</definedName>
    <definedName name="QB_ROW_852500" localSheetId="11" hidden="1">'P&amp;L.current'!$H$12</definedName>
    <definedName name="QB_ROW_852500" localSheetId="12" hidden="1">'P&amp;L.prior'!$H$12</definedName>
    <definedName name="QB_ROW_863210" localSheetId="10" hidden="1">'BS by month'!$E$43</definedName>
    <definedName name="QB_ROW_863210" localSheetId="13" hidden="1">'P&amp;L.by month'!$E$43</definedName>
    <definedName name="QB_ROW_863210" localSheetId="11" hidden="1">'P&amp;L.current'!$E$43</definedName>
    <definedName name="QB_ROW_863210" localSheetId="12" hidden="1">'P&amp;L.prior'!$E$43</definedName>
    <definedName name="QB_ROW_870310" localSheetId="10" hidden="1">'BS by month'!$F$40</definedName>
    <definedName name="QB_ROW_870310" localSheetId="13" hidden="1">'P&amp;L.by month'!$F$40</definedName>
    <definedName name="QB_ROW_870310" localSheetId="11" hidden="1">'P&amp;L.current'!$F$40</definedName>
    <definedName name="QB_ROW_870310" localSheetId="12" hidden="1">'P&amp;L.prior'!$F$40</definedName>
    <definedName name="QB_ROW_872500" localSheetId="10" hidden="1">'BS by month'!$H$129</definedName>
    <definedName name="QB_ROW_872500" localSheetId="13" hidden="1">'P&amp;L.by month'!$H$129</definedName>
    <definedName name="QB_ROW_872500" localSheetId="11" hidden="1">'P&amp;L.current'!$H$129</definedName>
    <definedName name="QB_ROW_872500" localSheetId="12" hidden="1">'P&amp;L.prior'!$H$129</definedName>
    <definedName name="QB_ROW_873310" localSheetId="10" hidden="1">'BS by month'!$F$42</definedName>
    <definedName name="QB_ROW_873310" localSheetId="13" hidden="1">'P&amp;L.by month'!$F$42</definedName>
    <definedName name="QB_ROW_873310" localSheetId="11" hidden="1">'P&amp;L.current'!$F$42</definedName>
    <definedName name="QB_ROW_873310" localSheetId="12" hidden="1">'P&amp;L.prior'!$F$42</definedName>
    <definedName name="QB_ROW_9021" localSheetId="7" hidden="1">BS.current!$E$53</definedName>
    <definedName name="QB_ROW_9021" localSheetId="9" hidden="1">'BS.multi year'!$E$55</definedName>
    <definedName name="QB_ROW_9021" localSheetId="8" hidden="1">BS.prior!$E$55</definedName>
    <definedName name="QB_ROW_912500" localSheetId="10" hidden="1">'BS by month'!$H$133</definedName>
    <definedName name="QB_ROW_912500" localSheetId="13" hidden="1">'P&amp;L.by month'!$H$133</definedName>
    <definedName name="QB_ROW_912500" localSheetId="11" hidden="1">'P&amp;L.current'!$H$133</definedName>
    <definedName name="QB_ROW_912500" localSheetId="12" hidden="1">'P&amp;L.prior'!$H$133</definedName>
    <definedName name="QB_ROW_9321" localSheetId="7" hidden="1">BS.current!$E$77</definedName>
    <definedName name="QB_ROW_9321" localSheetId="9" hidden="1">'BS.multi year'!$E$72</definedName>
    <definedName name="QB_ROW_9321" localSheetId="8" hidden="1">BS.prior!$E$72</definedName>
    <definedName name="QB_ROW_932500" localSheetId="10" hidden="1">'BS by month'!$H$68</definedName>
    <definedName name="QB_ROW_932500" localSheetId="13" hidden="1">'P&amp;L.by month'!$H$68</definedName>
    <definedName name="QB_ROW_932500" localSheetId="11" hidden="1">'P&amp;L.current'!$H$68</definedName>
    <definedName name="QB_ROW_932500" localSheetId="12" hidden="1">'P&amp;L.prior'!$H$68</definedName>
    <definedName name="QB_ROW_99240" localSheetId="7" hidden="1">BS.current!$G$29</definedName>
    <definedName name="QB_ROW_99240" localSheetId="9" hidden="1">'BS.multi year'!$G$31</definedName>
    <definedName name="QB_ROW_99240" localSheetId="8" hidden="1">BS.prior!$G$31</definedName>
    <definedName name="QBCANSUPPORTUPDATE" localSheetId="10">TRUE</definedName>
    <definedName name="QBCANSUPPORTUPDATE" localSheetId="7">TRUE</definedName>
    <definedName name="QBCANSUPPORTUPDATE" localSheetId="9">TRUE</definedName>
    <definedName name="QBCANSUPPORTUPDATE" localSheetId="8">TRUE</definedName>
    <definedName name="QBCANSUPPORTUPDATE" localSheetId="13">TRUE</definedName>
    <definedName name="QBCANSUPPORTUPDATE" localSheetId="11">TRUE</definedName>
    <definedName name="QBCANSUPPORTUPDATE" localSheetId="12">TRUE</definedName>
    <definedName name="QBCOMPANYFILENAME" localSheetId="10">"C:\quickbooks\democracynow-2016-0205.QBW"</definedName>
    <definedName name="QBCOMPANYFILENAME" localSheetId="7">"C:\quickbooks\democracynow-2016-0205.QBW"</definedName>
    <definedName name="QBCOMPANYFILENAME" localSheetId="9">"C:\quickbooks\democracynow-2016-0205.QBW"</definedName>
    <definedName name="QBCOMPANYFILENAME" localSheetId="8">"C:\quickbooks\democracynow-2016-0205.QBW"</definedName>
    <definedName name="QBCOMPANYFILENAME" localSheetId="13">"C:\quickbooks\democracynow-2016-0205.QBW"</definedName>
    <definedName name="QBCOMPANYFILENAME" localSheetId="11">"C:\quickbooks\democracynow-2016-0205.QBW"</definedName>
    <definedName name="QBCOMPANYFILENAME" localSheetId="12">"C:\quickbooks\democracynow-2016-0205.QBW"</definedName>
    <definedName name="QBENDDATE" localSheetId="10">20160831</definedName>
    <definedName name="QBENDDATE" localSheetId="7">20160630</definedName>
    <definedName name="QBENDDATE" localSheetId="9">20151231</definedName>
    <definedName name="QBENDDATE" localSheetId="8">20151231</definedName>
    <definedName name="QBENDDATE" localSheetId="13">20160831</definedName>
    <definedName name="QBENDDATE" localSheetId="11">20160831</definedName>
    <definedName name="QBENDDATE" localSheetId="12">20160831</definedName>
    <definedName name="QBHEADERSONSCREEN" localSheetId="10">FALSE</definedName>
    <definedName name="QBHEADERSONSCREEN" localSheetId="7">FALSE</definedName>
    <definedName name="QBHEADERSONSCREEN" localSheetId="9">FALSE</definedName>
    <definedName name="QBHEADERSONSCREEN" localSheetId="8">FALSE</definedName>
    <definedName name="QBHEADERSONSCREEN" localSheetId="13">FALSE</definedName>
    <definedName name="QBHEADERSONSCREEN" localSheetId="11">FALSE</definedName>
    <definedName name="QBHEADERSONSCREEN" localSheetId="12">FALSE</definedName>
    <definedName name="QBMETADATASIZE" localSheetId="10">5892</definedName>
    <definedName name="QBMETADATASIZE" localSheetId="7">5892</definedName>
    <definedName name="QBMETADATASIZE" localSheetId="9">5892</definedName>
    <definedName name="QBMETADATASIZE" localSheetId="8">5892</definedName>
    <definedName name="QBMETADATASIZE" localSheetId="13">5892</definedName>
    <definedName name="QBMETADATASIZE" localSheetId="11">5892</definedName>
    <definedName name="QBMETADATASIZE" localSheetId="12">5892</definedName>
    <definedName name="QBPRESERVECOLOR" localSheetId="10">TRUE</definedName>
    <definedName name="QBPRESERVECOLOR" localSheetId="7">TRUE</definedName>
    <definedName name="QBPRESERVECOLOR" localSheetId="9">TRUE</definedName>
    <definedName name="QBPRESERVECOLOR" localSheetId="8">TRUE</definedName>
    <definedName name="QBPRESERVECOLOR" localSheetId="13">TRUE</definedName>
    <definedName name="QBPRESERVECOLOR" localSheetId="11">TRUE</definedName>
    <definedName name="QBPRESERVECOLOR" localSheetId="12">TRUE</definedName>
    <definedName name="QBPRESERVEFONT" localSheetId="10">TRUE</definedName>
    <definedName name="QBPRESERVEFONT" localSheetId="7">TRUE</definedName>
    <definedName name="QBPRESERVEFONT" localSheetId="9">TRUE</definedName>
    <definedName name="QBPRESERVEFONT" localSheetId="8">TRUE</definedName>
    <definedName name="QBPRESERVEFONT" localSheetId="13">TRUE</definedName>
    <definedName name="QBPRESERVEFONT" localSheetId="11">TRUE</definedName>
    <definedName name="QBPRESERVEFONT" localSheetId="12">TRUE</definedName>
    <definedName name="QBPRESERVEROWHEIGHT" localSheetId="10">TRUE</definedName>
    <definedName name="QBPRESERVEROWHEIGHT" localSheetId="7">TRUE</definedName>
    <definedName name="QBPRESERVEROWHEIGHT" localSheetId="9">TRUE</definedName>
    <definedName name="QBPRESERVEROWHEIGHT" localSheetId="8">TRUE</definedName>
    <definedName name="QBPRESERVEROWHEIGHT" localSheetId="13">TRUE</definedName>
    <definedName name="QBPRESERVEROWHEIGHT" localSheetId="11">TRUE</definedName>
    <definedName name="QBPRESERVEROWHEIGHT" localSheetId="12">TRUE</definedName>
    <definedName name="QBPRESERVESPACE" localSheetId="10">FALSE</definedName>
    <definedName name="QBPRESERVESPACE" localSheetId="7">FALSE</definedName>
    <definedName name="QBPRESERVESPACE" localSheetId="9">FALSE</definedName>
    <definedName name="QBPRESERVESPACE" localSheetId="8">FALSE</definedName>
    <definedName name="QBPRESERVESPACE" localSheetId="13">FALSE</definedName>
    <definedName name="QBPRESERVESPACE" localSheetId="11">FALSE</definedName>
    <definedName name="QBPRESERVESPACE" localSheetId="12">FALSE</definedName>
    <definedName name="QBREPORTCOLAXIS" localSheetId="10">19</definedName>
    <definedName name="QBREPORTCOLAXIS" localSheetId="7">0</definedName>
    <definedName name="QBREPORTCOLAXIS" localSheetId="9">0</definedName>
    <definedName name="QBREPORTCOLAXIS" localSheetId="8">0</definedName>
    <definedName name="QBREPORTCOLAXIS" localSheetId="13">19</definedName>
    <definedName name="QBREPORTCOLAXIS" localSheetId="11">19</definedName>
    <definedName name="QBREPORTCOLAXIS" localSheetId="12">19</definedName>
    <definedName name="QBREPORTCOMPANYID" localSheetId="10">"da1255319e0b43aaae499e239954eecd"</definedName>
    <definedName name="QBREPORTCOMPANYID" localSheetId="7">"da1255319e0b43aaae499e239954eecd"</definedName>
    <definedName name="QBREPORTCOMPANYID" localSheetId="9">"da1255319e0b43aaae499e239954eecd"</definedName>
    <definedName name="QBREPORTCOMPANYID" localSheetId="8">"da1255319e0b43aaae499e239954eecd"</definedName>
    <definedName name="QBREPORTCOMPANYID" localSheetId="13">"da1255319e0b43aaae499e239954eecd"</definedName>
    <definedName name="QBREPORTCOMPANYID" localSheetId="11">"da1255319e0b43aaae499e239954eecd"</definedName>
    <definedName name="QBREPORTCOMPANYID" localSheetId="12">"da1255319e0b43aaae499e239954eecd"</definedName>
    <definedName name="QBREPORTCOMPARECOL_ANNUALBUDGET" localSheetId="10">FALSE</definedName>
    <definedName name="QBREPORTCOMPARECOL_ANNUALBUDGET" localSheetId="7">FALSE</definedName>
    <definedName name="QBREPORTCOMPARECOL_ANNUALBUDGET" localSheetId="9">FALSE</definedName>
    <definedName name="QBREPORTCOMPARECOL_ANNUALBUDGET" localSheetId="8">FALSE</definedName>
    <definedName name="QBREPORTCOMPARECOL_ANNUALBUDGET" localSheetId="13">FALSE</definedName>
    <definedName name="QBREPORTCOMPARECOL_ANNUALBUDGET" localSheetId="11">FALSE</definedName>
    <definedName name="QBREPORTCOMPARECOL_ANNUALBUDGET" localSheetId="12">FALSE</definedName>
    <definedName name="QBREPORTCOMPARECOL_AVGCOGS" localSheetId="10">FALSE</definedName>
    <definedName name="QBREPORTCOMPARECOL_AVGCOGS" localSheetId="7">FALSE</definedName>
    <definedName name="QBREPORTCOMPARECOL_AVGCOGS" localSheetId="9">FALSE</definedName>
    <definedName name="QBREPORTCOMPARECOL_AVGCOGS" localSheetId="8">FALSE</definedName>
    <definedName name="QBREPORTCOMPARECOL_AVGCOGS" localSheetId="13">FALSE</definedName>
    <definedName name="QBREPORTCOMPARECOL_AVGCOGS" localSheetId="11">FALSE</definedName>
    <definedName name="QBREPORTCOMPARECOL_AVGCOGS" localSheetId="12">FALSE</definedName>
    <definedName name="QBREPORTCOMPARECOL_AVGPRICE" localSheetId="10">FALSE</definedName>
    <definedName name="QBREPORTCOMPARECOL_AVGPRICE" localSheetId="7">FALSE</definedName>
    <definedName name="QBREPORTCOMPARECOL_AVGPRICE" localSheetId="9">FALSE</definedName>
    <definedName name="QBREPORTCOMPARECOL_AVGPRICE" localSheetId="8">FALSE</definedName>
    <definedName name="QBREPORTCOMPARECOL_AVGPRICE" localSheetId="13">FALSE</definedName>
    <definedName name="QBREPORTCOMPARECOL_AVGPRICE" localSheetId="11">FALSE</definedName>
    <definedName name="QBREPORTCOMPARECOL_AVGPRICE" localSheetId="12">FALSE</definedName>
    <definedName name="QBREPORTCOMPARECOL_BUDDIFF" localSheetId="10">FALSE</definedName>
    <definedName name="QBREPORTCOMPARECOL_BUDDIFF" localSheetId="7">FALSE</definedName>
    <definedName name="QBREPORTCOMPARECOL_BUDDIFF" localSheetId="9">FALSE</definedName>
    <definedName name="QBREPORTCOMPARECOL_BUDDIFF" localSheetId="8">FALSE</definedName>
    <definedName name="QBREPORTCOMPARECOL_BUDDIFF" localSheetId="13">FALSE</definedName>
    <definedName name="QBREPORTCOMPARECOL_BUDDIFF" localSheetId="11">FALSE</definedName>
    <definedName name="QBREPORTCOMPARECOL_BUDDIFF" localSheetId="12">FALSE</definedName>
    <definedName name="QBREPORTCOMPARECOL_BUDGET" localSheetId="10">FALSE</definedName>
    <definedName name="QBREPORTCOMPARECOL_BUDGET" localSheetId="7">FALSE</definedName>
    <definedName name="QBREPORTCOMPARECOL_BUDGET" localSheetId="9">FALSE</definedName>
    <definedName name="QBREPORTCOMPARECOL_BUDGET" localSheetId="8">FALSE</definedName>
    <definedName name="QBREPORTCOMPARECOL_BUDGET" localSheetId="13">FALSE</definedName>
    <definedName name="QBREPORTCOMPARECOL_BUDGET" localSheetId="11">FALSE</definedName>
    <definedName name="QBREPORTCOMPARECOL_BUDGET" localSheetId="12">FALSE</definedName>
    <definedName name="QBREPORTCOMPARECOL_BUDPCT" localSheetId="10">FALSE</definedName>
    <definedName name="QBREPORTCOMPARECOL_BUDPCT" localSheetId="7">FALSE</definedName>
    <definedName name="QBREPORTCOMPARECOL_BUDPCT" localSheetId="9">FALSE</definedName>
    <definedName name="QBREPORTCOMPARECOL_BUDPCT" localSheetId="8">FALSE</definedName>
    <definedName name="QBREPORTCOMPARECOL_BUDPCT" localSheetId="13">FALSE</definedName>
    <definedName name="QBREPORTCOMPARECOL_BUDPCT" localSheetId="11">FALSE</definedName>
    <definedName name="QBREPORTCOMPARECOL_BUDPCT" localSheetId="12">FALSE</definedName>
    <definedName name="QBREPORTCOMPARECOL_COGS" localSheetId="10">FALSE</definedName>
    <definedName name="QBREPORTCOMPARECOL_COGS" localSheetId="7">FALSE</definedName>
    <definedName name="QBREPORTCOMPARECOL_COGS" localSheetId="9">FALSE</definedName>
    <definedName name="QBREPORTCOMPARECOL_COGS" localSheetId="8">FALSE</definedName>
    <definedName name="QBREPORTCOMPARECOL_COGS" localSheetId="13">FALSE</definedName>
    <definedName name="QBREPORTCOMPARECOL_COGS" localSheetId="11">FALSE</definedName>
    <definedName name="QBREPORTCOMPARECOL_COGS" localSheetId="12">FALSE</definedName>
    <definedName name="QBREPORTCOMPARECOL_EXCLUDEAMOUNT" localSheetId="10">FALSE</definedName>
    <definedName name="QBREPORTCOMPARECOL_EXCLUDEAMOUNT" localSheetId="7">FALSE</definedName>
    <definedName name="QBREPORTCOMPARECOL_EXCLUDEAMOUNT" localSheetId="9">FALSE</definedName>
    <definedName name="QBREPORTCOMPARECOL_EXCLUDEAMOUNT" localSheetId="8">FALSE</definedName>
    <definedName name="QBREPORTCOMPARECOL_EXCLUDEAMOUNT" localSheetId="13">FALSE</definedName>
    <definedName name="QBREPORTCOMPARECOL_EXCLUDEAMOUNT" localSheetId="11">FALSE</definedName>
    <definedName name="QBREPORTCOMPARECOL_EXCLUDEAMOUNT" localSheetId="12">FALSE</definedName>
    <definedName name="QBREPORTCOMPARECOL_EXCLUDECURPERIOD" localSheetId="10">FALSE</definedName>
    <definedName name="QBREPORTCOMPARECOL_EXCLUDECURPERIOD" localSheetId="7">FALSE</definedName>
    <definedName name="QBREPORTCOMPARECOL_EXCLUDECURPERIOD" localSheetId="9">FALSE</definedName>
    <definedName name="QBREPORTCOMPARECOL_EXCLUDECURPERIOD" localSheetId="8">FALSE</definedName>
    <definedName name="QBREPORTCOMPARECOL_EXCLUDECURPERIOD" localSheetId="13">FALSE</definedName>
    <definedName name="QBREPORTCOMPARECOL_EXCLUDECURPERIOD" localSheetId="11">FALSE</definedName>
    <definedName name="QBREPORTCOMPARECOL_EXCLUDECURPERIOD" localSheetId="12">FALSE</definedName>
    <definedName name="QBREPORTCOMPARECOL_FORECAST" localSheetId="10">FALSE</definedName>
    <definedName name="QBREPORTCOMPARECOL_FORECAST" localSheetId="7">FALSE</definedName>
    <definedName name="QBREPORTCOMPARECOL_FORECAST" localSheetId="9">FALSE</definedName>
    <definedName name="QBREPORTCOMPARECOL_FORECAST" localSheetId="8">FALSE</definedName>
    <definedName name="QBREPORTCOMPARECOL_FORECAST" localSheetId="13">FALSE</definedName>
    <definedName name="QBREPORTCOMPARECOL_FORECAST" localSheetId="11">FALSE</definedName>
    <definedName name="QBREPORTCOMPARECOL_FORECAST" localSheetId="12">FALSE</definedName>
    <definedName name="QBREPORTCOMPARECOL_GROSSMARGIN" localSheetId="10">FALSE</definedName>
    <definedName name="QBREPORTCOMPARECOL_GROSSMARGIN" localSheetId="7">FALSE</definedName>
    <definedName name="QBREPORTCOMPARECOL_GROSSMARGIN" localSheetId="9">FALSE</definedName>
    <definedName name="QBREPORTCOMPARECOL_GROSSMARGIN" localSheetId="8">FALSE</definedName>
    <definedName name="QBREPORTCOMPARECOL_GROSSMARGIN" localSheetId="13">FALSE</definedName>
    <definedName name="QBREPORTCOMPARECOL_GROSSMARGIN" localSheetId="11">FALSE</definedName>
    <definedName name="QBREPORTCOMPARECOL_GROSSMARGIN" localSheetId="12">FALSE</definedName>
    <definedName name="QBREPORTCOMPARECOL_GROSSMARGINPCT" localSheetId="10">FALSE</definedName>
    <definedName name="QBREPORTCOMPARECOL_GROSSMARGINPCT" localSheetId="7">FALSE</definedName>
    <definedName name="QBREPORTCOMPARECOL_GROSSMARGINPCT" localSheetId="9">FALSE</definedName>
    <definedName name="QBREPORTCOMPARECOL_GROSSMARGINPCT" localSheetId="8">FALSE</definedName>
    <definedName name="QBREPORTCOMPARECOL_GROSSMARGINPCT" localSheetId="13">FALSE</definedName>
    <definedName name="QBREPORTCOMPARECOL_GROSSMARGINPCT" localSheetId="11">FALSE</definedName>
    <definedName name="QBREPORTCOMPARECOL_GROSSMARGINPCT" localSheetId="12">FALSE</definedName>
    <definedName name="QBREPORTCOMPARECOL_HOURS" localSheetId="10">FALSE</definedName>
    <definedName name="QBREPORTCOMPARECOL_HOURS" localSheetId="7">FALSE</definedName>
    <definedName name="QBREPORTCOMPARECOL_HOURS" localSheetId="9">FALSE</definedName>
    <definedName name="QBREPORTCOMPARECOL_HOURS" localSheetId="8">FALSE</definedName>
    <definedName name="QBREPORTCOMPARECOL_HOURS" localSheetId="13">FALSE</definedName>
    <definedName name="QBREPORTCOMPARECOL_HOURS" localSheetId="11">FALSE</definedName>
    <definedName name="QBREPORTCOMPARECOL_HOURS" localSheetId="12">FALSE</definedName>
    <definedName name="QBREPORTCOMPARECOL_PCTCOL" localSheetId="10">FALSE</definedName>
    <definedName name="QBREPORTCOMPARECOL_PCTCOL" localSheetId="7">FALSE</definedName>
    <definedName name="QBREPORTCOMPARECOL_PCTCOL" localSheetId="9">FALSE</definedName>
    <definedName name="QBREPORTCOMPARECOL_PCTCOL" localSheetId="8">FALSE</definedName>
    <definedName name="QBREPORTCOMPARECOL_PCTCOL" localSheetId="13">FALSE</definedName>
    <definedName name="QBREPORTCOMPARECOL_PCTCOL" localSheetId="11">FALSE</definedName>
    <definedName name="QBREPORTCOMPARECOL_PCTCOL" localSheetId="12">FALSE</definedName>
    <definedName name="QBREPORTCOMPARECOL_PCTEXPENSE" localSheetId="10">FALSE</definedName>
    <definedName name="QBREPORTCOMPARECOL_PCTEXPENSE" localSheetId="7">FALSE</definedName>
    <definedName name="QBREPORTCOMPARECOL_PCTEXPENSE" localSheetId="9">FALSE</definedName>
    <definedName name="QBREPORTCOMPARECOL_PCTEXPENSE" localSheetId="8">FALSE</definedName>
    <definedName name="QBREPORTCOMPARECOL_PCTEXPENSE" localSheetId="13">FALSE</definedName>
    <definedName name="QBREPORTCOMPARECOL_PCTEXPENSE" localSheetId="11">FALSE</definedName>
    <definedName name="QBREPORTCOMPARECOL_PCTEXPENSE" localSheetId="12">FALSE</definedName>
    <definedName name="QBREPORTCOMPARECOL_PCTINCOME" localSheetId="10">FALSE</definedName>
    <definedName name="QBREPORTCOMPARECOL_PCTINCOME" localSheetId="7">FALSE</definedName>
    <definedName name="QBREPORTCOMPARECOL_PCTINCOME" localSheetId="9">FALSE</definedName>
    <definedName name="QBREPORTCOMPARECOL_PCTINCOME" localSheetId="8">FALSE</definedName>
    <definedName name="QBREPORTCOMPARECOL_PCTINCOME" localSheetId="13">FALSE</definedName>
    <definedName name="QBREPORTCOMPARECOL_PCTINCOME" localSheetId="11">FALSE</definedName>
    <definedName name="QBREPORTCOMPARECOL_PCTINCOME" localSheetId="12">FALSE</definedName>
    <definedName name="QBREPORTCOMPARECOL_PCTOFSALES" localSheetId="10">FALSE</definedName>
    <definedName name="QBREPORTCOMPARECOL_PCTOFSALES" localSheetId="7">FALSE</definedName>
    <definedName name="QBREPORTCOMPARECOL_PCTOFSALES" localSheetId="9">FALSE</definedName>
    <definedName name="QBREPORTCOMPARECOL_PCTOFSALES" localSheetId="8">FALSE</definedName>
    <definedName name="QBREPORTCOMPARECOL_PCTOFSALES" localSheetId="13">FALSE</definedName>
    <definedName name="QBREPORTCOMPARECOL_PCTOFSALES" localSheetId="11">FALSE</definedName>
    <definedName name="QBREPORTCOMPARECOL_PCTOFSALES" localSheetId="12">FALSE</definedName>
    <definedName name="QBREPORTCOMPARECOL_PCTROW" localSheetId="10">FALSE</definedName>
    <definedName name="QBREPORTCOMPARECOL_PCTROW" localSheetId="7">FALSE</definedName>
    <definedName name="QBREPORTCOMPARECOL_PCTROW" localSheetId="9">FALSE</definedName>
    <definedName name="QBREPORTCOMPARECOL_PCTROW" localSheetId="8">FALSE</definedName>
    <definedName name="QBREPORTCOMPARECOL_PCTROW" localSheetId="13">FALSE</definedName>
    <definedName name="QBREPORTCOMPARECOL_PCTROW" localSheetId="11">FALSE</definedName>
    <definedName name="QBREPORTCOMPARECOL_PCTROW" localSheetId="12">FALSE</definedName>
    <definedName name="QBREPORTCOMPARECOL_PPDIFF" localSheetId="10">FALSE</definedName>
    <definedName name="QBREPORTCOMPARECOL_PPDIFF" localSheetId="7">FALSE</definedName>
    <definedName name="QBREPORTCOMPARECOL_PPDIFF" localSheetId="9">FALSE</definedName>
    <definedName name="QBREPORTCOMPARECOL_PPDIFF" localSheetId="8">FALSE</definedName>
    <definedName name="QBREPORTCOMPARECOL_PPDIFF" localSheetId="13">FALSE</definedName>
    <definedName name="QBREPORTCOMPARECOL_PPDIFF" localSheetId="11">FALSE</definedName>
    <definedName name="QBREPORTCOMPARECOL_PPDIFF" localSheetId="12">FALSE</definedName>
    <definedName name="QBREPORTCOMPARECOL_PPPCT" localSheetId="10">FALSE</definedName>
    <definedName name="QBREPORTCOMPARECOL_PPPCT" localSheetId="7">FALSE</definedName>
    <definedName name="QBREPORTCOMPARECOL_PPPCT" localSheetId="9">FALSE</definedName>
    <definedName name="QBREPORTCOMPARECOL_PPPCT" localSheetId="8">FALSE</definedName>
    <definedName name="QBREPORTCOMPARECOL_PPPCT" localSheetId="13">FALSE</definedName>
    <definedName name="QBREPORTCOMPARECOL_PPPCT" localSheetId="11">FALSE</definedName>
    <definedName name="QBREPORTCOMPARECOL_PPPCT" localSheetId="12">FALSE</definedName>
    <definedName name="QBREPORTCOMPARECOL_PREVPERIOD" localSheetId="10">FALSE</definedName>
    <definedName name="QBREPORTCOMPARECOL_PREVPERIOD" localSheetId="7">FALSE</definedName>
    <definedName name="QBREPORTCOMPARECOL_PREVPERIOD" localSheetId="9">FALSE</definedName>
    <definedName name="QBREPORTCOMPARECOL_PREVPERIOD" localSheetId="8">FALSE</definedName>
    <definedName name="QBREPORTCOMPARECOL_PREVPERIOD" localSheetId="13">FALSE</definedName>
    <definedName name="QBREPORTCOMPARECOL_PREVPERIOD" localSheetId="11">FALSE</definedName>
    <definedName name="QBREPORTCOMPARECOL_PREVPERIOD" localSheetId="12">FALSE</definedName>
    <definedName name="QBREPORTCOMPARECOL_PREVYEAR" localSheetId="10">FALSE</definedName>
    <definedName name="QBREPORTCOMPARECOL_PREVYEAR" localSheetId="7">FALSE</definedName>
    <definedName name="QBREPORTCOMPARECOL_PREVYEAR" localSheetId="9">FALSE</definedName>
    <definedName name="QBREPORTCOMPARECOL_PREVYEAR" localSheetId="8">FALSE</definedName>
    <definedName name="QBREPORTCOMPARECOL_PREVYEAR" localSheetId="13">FALSE</definedName>
    <definedName name="QBREPORTCOMPARECOL_PREVYEAR" localSheetId="11">FALSE</definedName>
    <definedName name="QBREPORTCOMPARECOL_PREVYEAR" localSheetId="12">FALSE</definedName>
    <definedName name="QBREPORTCOMPARECOL_PYDIFF" localSheetId="10">FALSE</definedName>
    <definedName name="QBREPORTCOMPARECOL_PYDIFF" localSheetId="7">FALSE</definedName>
    <definedName name="QBREPORTCOMPARECOL_PYDIFF" localSheetId="9">FALSE</definedName>
    <definedName name="QBREPORTCOMPARECOL_PYDIFF" localSheetId="8">FALSE</definedName>
    <definedName name="QBREPORTCOMPARECOL_PYDIFF" localSheetId="13">FALSE</definedName>
    <definedName name="QBREPORTCOMPARECOL_PYDIFF" localSheetId="11">FALSE</definedName>
    <definedName name="QBREPORTCOMPARECOL_PYDIFF" localSheetId="12">FALSE</definedName>
    <definedName name="QBREPORTCOMPARECOL_PYPCT" localSheetId="10">FALSE</definedName>
    <definedName name="QBREPORTCOMPARECOL_PYPCT" localSheetId="7">FALSE</definedName>
    <definedName name="QBREPORTCOMPARECOL_PYPCT" localSheetId="9">FALSE</definedName>
    <definedName name="QBREPORTCOMPARECOL_PYPCT" localSheetId="8">FALSE</definedName>
    <definedName name="QBREPORTCOMPARECOL_PYPCT" localSheetId="13">FALSE</definedName>
    <definedName name="QBREPORTCOMPARECOL_PYPCT" localSheetId="11">FALSE</definedName>
    <definedName name="QBREPORTCOMPARECOL_PYPCT" localSheetId="12">FALSE</definedName>
    <definedName name="QBREPORTCOMPARECOL_QTY" localSheetId="10">FALSE</definedName>
    <definedName name="QBREPORTCOMPARECOL_QTY" localSheetId="7">FALSE</definedName>
    <definedName name="QBREPORTCOMPARECOL_QTY" localSheetId="9">FALSE</definedName>
    <definedName name="QBREPORTCOMPARECOL_QTY" localSheetId="8">FALSE</definedName>
    <definedName name="QBREPORTCOMPARECOL_QTY" localSheetId="13">FALSE</definedName>
    <definedName name="QBREPORTCOMPARECOL_QTY" localSheetId="11">FALSE</definedName>
    <definedName name="QBREPORTCOMPARECOL_QTY" localSheetId="12">FALSE</definedName>
    <definedName name="QBREPORTCOMPARECOL_RATE" localSheetId="10">FALSE</definedName>
    <definedName name="QBREPORTCOMPARECOL_RATE" localSheetId="7">FALSE</definedName>
    <definedName name="QBREPORTCOMPARECOL_RATE" localSheetId="9">FALSE</definedName>
    <definedName name="QBREPORTCOMPARECOL_RATE" localSheetId="8">FALSE</definedName>
    <definedName name="QBREPORTCOMPARECOL_RATE" localSheetId="13">FALSE</definedName>
    <definedName name="QBREPORTCOMPARECOL_RATE" localSheetId="11">FALSE</definedName>
    <definedName name="QBREPORTCOMPARECOL_RATE" localSheetId="12">FALSE</definedName>
    <definedName name="QBREPORTCOMPARECOL_TRIPBILLEDMILES" localSheetId="10">FALSE</definedName>
    <definedName name="QBREPORTCOMPARECOL_TRIPBILLEDMILES" localSheetId="7">FALSE</definedName>
    <definedName name="QBREPORTCOMPARECOL_TRIPBILLEDMILES" localSheetId="9">FALSE</definedName>
    <definedName name="QBREPORTCOMPARECOL_TRIPBILLEDMILES" localSheetId="8">FALSE</definedName>
    <definedName name="QBREPORTCOMPARECOL_TRIPBILLEDMILES" localSheetId="13">FALSE</definedName>
    <definedName name="QBREPORTCOMPARECOL_TRIPBILLEDMILES" localSheetId="11">FALSE</definedName>
    <definedName name="QBREPORTCOMPARECOL_TRIPBILLEDMILES" localSheetId="12">FALSE</definedName>
    <definedName name="QBREPORTCOMPARECOL_TRIPBILLINGAMOUNT" localSheetId="10">FALSE</definedName>
    <definedName name="QBREPORTCOMPARECOL_TRIPBILLINGAMOUNT" localSheetId="7">FALSE</definedName>
    <definedName name="QBREPORTCOMPARECOL_TRIPBILLINGAMOUNT" localSheetId="9">FALSE</definedName>
    <definedName name="QBREPORTCOMPARECOL_TRIPBILLINGAMOUNT" localSheetId="8">FALSE</definedName>
    <definedName name="QBREPORTCOMPARECOL_TRIPBILLINGAMOUNT" localSheetId="13">FALSE</definedName>
    <definedName name="QBREPORTCOMPARECOL_TRIPBILLINGAMOUNT" localSheetId="11">FALSE</definedName>
    <definedName name="QBREPORTCOMPARECOL_TRIPBILLINGAMOUNT" localSheetId="12">FALSE</definedName>
    <definedName name="QBREPORTCOMPARECOL_TRIPMILES" localSheetId="10">FALSE</definedName>
    <definedName name="QBREPORTCOMPARECOL_TRIPMILES" localSheetId="7">FALSE</definedName>
    <definedName name="QBREPORTCOMPARECOL_TRIPMILES" localSheetId="9">FALSE</definedName>
    <definedName name="QBREPORTCOMPARECOL_TRIPMILES" localSheetId="8">FALSE</definedName>
    <definedName name="QBREPORTCOMPARECOL_TRIPMILES" localSheetId="13">FALSE</definedName>
    <definedName name="QBREPORTCOMPARECOL_TRIPMILES" localSheetId="11">FALSE</definedName>
    <definedName name="QBREPORTCOMPARECOL_TRIPMILES" localSheetId="12">FALSE</definedName>
    <definedName name="QBREPORTCOMPARECOL_TRIPNOTBILLABLEMILES" localSheetId="10">FALSE</definedName>
    <definedName name="QBREPORTCOMPARECOL_TRIPNOTBILLABLEMILES" localSheetId="7">FALSE</definedName>
    <definedName name="QBREPORTCOMPARECOL_TRIPNOTBILLABLEMILES" localSheetId="9">FALSE</definedName>
    <definedName name="QBREPORTCOMPARECOL_TRIPNOTBILLABLEMILES" localSheetId="8">FALSE</definedName>
    <definedName name="QBREPORTCOMPARECOL_TRIPNOTBILLABLEMILES" localSheetId="13">FALSE</definedName>
    <definedName name="QBREPORTCOMPARECOL_TRIPNOTBILLABLEMILES" localSheetId="11">FALSE</definedName>
    <definedName name="QBREPORTCOMPARECOL_TRIPNOTBILLABLEMILES" localSheetId="12">FALSE</definedName>
    <definedName name="QBREPORTCOMPARECOL_TRIPTAXDEDUCTIBLEAMOUNT" localSheetId="10">FALSE</definedName>
    <definedName name="QBREPORTCOMPARECOL_TRIPTAXDEDUCTIBLEAMOUNT" localSheetId="7">FALSE</definedName>
    <definedName name="QBREPORTCOMPARECOL_TRIPTAXDEDUCTIBLEAMOUNT" localSheetId="9">FALSE</definedName>
    <definedName name="QBREPORTCOMPARECOL_TRIPTAXDEDUCTIBLEAMOUNT" localSheetId="8">FALSE</definedName>
    <definedName name="QBREPORTCOMPARECOL_TRIPTAXDEDUCTIBLEAMOUNT" localSheetId="13">FALSE</definedName>
    <definedName name="QBREPORTCOMPARECOL_TRIPTAXDEDUCTIBLEAMOUNT" localSheetId="11">FALSE</definedName>
    <definedName name="QBREPORTCOMPARECOL_TRIPTAXDEDUCTIBLEAMOUNT" localSheetId="12">FALSE</definedName>
    <definedName name="QBREPORTCOMPARECOL_TRIPUNBILLEDMILES" localSheetId="10">FALSE</definedName>
    <definedName name="QBREPORTCOMPARECOL_TRIPUNBILLEDMILES" localSheetId="7">FALSE</definedName>
    <definedName name="QBREPORTCOMPARECOL_TRIPUNBILLEDMILES" localSheetId="9">FALSE</definedName>
    <definedName name="QBREPORTCOMPARECOL_TRIPUNBILLEDMILES" localSheetId="8">FALSE</definedName>
    <definedName name="QBREPORTCOMPARECOL_TRIPUNBILLEDMILES" localSheetId="13">FALSE</definedName>
    <definedName name="QBREPORTCOMPARECOL_TRIPUNBILLEDMILES" localSheetId="11">FALSE</definedName>
    <definedName name="QBREPORTCOMPARECOL_TRIPUNBILLEDMILES" localSheetId="12">FALSE</definedName>
    <definedName name="QBREPORTCOMPARECOL_YTD" localSheetId="10">FALSE</definedName>
    <definedName name="QBREPORTCOMPARECOL_YTD" localSheetId="7">FALSE</definedName>
    <definedName name="QBREPORTCOMPARECOL_YTD" localSheetId="9">FALSE</definedName>
    <definedName name="QBREPORTCOMPARECOL_YTD" localSheetId="8">FALSE</definedName>
    <definedName name="QBREPORTCOMPARECOL_YTD" localSheetId="13">FALSE</definedName>
    <definedName name="QBREPORTCOMPARECOL_YTD" localSheetId="11">FALSE</definedName>
    <definedName name="QBREPORTCOMPARECOL_YTD" localSheetId="12">FALSE</definedName>
    <definedName name="QBREPORTCOMPARECOL_YTDBUDGET" localSheetId="10">FALSE</definedName>
    <definedName name="QBREPORTCOMPARECOL_YTDBUDGET" localSheetId="7">FALSE</definedName>
    <definedName name="QBREPORTCOMPARECOL_YTDBUDGET" localSheetId="9">FALSE</definedName>
    <definedName name="QBREPORTCOMPARECOL_YTDBUDGET" localSheetId="8">FALSE</definedName>
    <definedName name="QBREPORTCOMPARECOL_YTDBUDGET" localSheetId="13">FALSE</definedName>
    <definedName name="QBREPORTCOMPARECOL_YTDBUDGET" localSheetId="11">FALSE</definedName>
    <definedName name="QBREPORTCOMPARECOL_YTDBUDGET" localSheetId="12">FALSE</definedName>
    <definedName name="QBREPORTCOMPARECOL_YTDPCT" localSheetId="10">FALSE</definedName>
    <definedName name="QBREPORTCOMPARECOL_YTDPCT" localSheetId="7">FALSE</definedName>
    <definedName name="QBREPORTCOMPARECOL_YTDPCT" localSheetId="9">FALSE</definedName>
    <definedName name="QBREPORTCOMPARECOL_YTDPCT" localSheetId="8">FALSE</definedName>
    <definedName name="QBREPORTCOMPARECOL_YTDPCT" localSheetId="13">FALSE</definedName>
    <definedName name="QBREPORTCOMPARECOL_YTDPCT" localSheetId="11">FALSE</definedName>
    <definedName name="QBREPORTCOMPARECOL_YTDPCT" localSheetId="12">FALSE</definedName>
    <definedName name="QBREPORTROWAXIS" localSheetId="10">11</definedName>
    <definedName name="QBREPORTROWAXIS" localSheetId="7">9</definedName>
    <definedName name="QBREPORTROWAXIS" localSheetId="9">9</definedName>
    <definedName name="QBREPORTROWAXIS" localSheetId="8">9</definedName>
    <definedName name="QBREPORTROWAXIS" localSheetId="13">11</definedName>
    <definedName name="QBREPORTROWAXIS" localSheetId="11">11</definedName>
    <definedName name="QBREPORTROWAXIS" localSheetId="12">11</definedName>
    <definedName name="QBREPORTSUBCOLAXIS" localSheetId="10">0</definedName>
    <definedName name="QBREPORTSUBCOLAXIS" localSheetId="7">0</definedName>
    <definedName name="QBREPORTSUBCOLAXIS" localSheetId="9">0</definedName>
    <definedName name="QBREPORTSUBCOLAXIS" localSheetId="8">0</definedName>
    <definedName name="QBREPORTSUBCOLAXIS" localSheetId="13">0</definedName>
    <definedName name="QBREPORTSUBCOLAXIS" localSheetId="11">0</definedName>
    <definedName name="QBREPORTSUBCOLAXIS" localSheetId="12">0</definedName>
    <definedName name="QBREPORTTYPE" localSheetId="10">3</definedName>
    <definedName name="QBREPORTTYPE" localSheetId="7">5</definedName>
    <definedName name="QBREPORTTYPE" localSheetId="9">5</definedName>
    <definedName name="QBREPORTTYPE" localSheetId="8">5</definedName>
    <definedName name="QBREPORTTYPE" localSheetId="13">3</definedName>
    <definedName name="QBREPORTTYPE" localSheetId="11">3</definedName>
    <definedName name="QBREPORTTYPE" localSheetId="12">3</definedName>
    <definedName name="QBROWHEADERS" localSheetId="10">6</definedName>
    <definedName name="QBROWHEADERS" localSheetId="7">7</definedName>
    <definedName name="QBROWHEADERS" localSheetId="9">6</definedName>
    <definedName name="QBROWHEADERS" localSheetId="8">6</definedName>
    <definedName name="QBROWHEADERS" localSheetId="13">6</definedName>
    <definedName name="QBROWHEADERS" localSheetId="11">6</definedName>
    <definedName name="QBROWHEADERS" localSheetId="12">6</definedName>
    <definedName name="QBSTARTDATE" localSheetId="10">20120101</definedName>
    <definedName name="QBSTARTDATE" localSheetId="7">20160630</definedName>
    <definedName name="QBSTARTDATE" localSheetId="9">20151231</definedName>
    <definedName name="QBSTARTDATE" localSheetId="8">20151231</definedName>
    <definedName name="QBSTARTDATE" localSheetId="13">20120101</definedName>
    <definedName name="QBSTARTDATE" localSheetId="11">20120101</definedName>
    <definedName name="QBSTARTDATE" localSheetId="12">20120101</definedName>
    <definedName name="Rev." localSheetId="6">[16]FinPos!#REF!</definedName>
    <definedName name="Rev.">[16]FinPos!#REF!</definedName>
    <definedName name="revlist" localSheetId="6">'[8]monthly revenue'!$Q$82:$Q$111</definedName>
    <definedName name="revlist">'[9]monthly revenue'!$Q$82:$Q$111</definedName>
    <definedName name="s" localSheetId="6">[10]Proof!$M$8:$M$20</definedName>
    <definedName name="s">[11]Proof!$M$8:$M$20</definedName>
    <definedName name="Sched_Pay">'[12]Sweeper schedule'!$D$19:$D$79</definedName>
    <definedName name="Scheduled_Extra_Payments">'[12]Sweeper schedule'!$D$11</definedName>
    <definedName name="Scheduled_Monthly_Payment">'[12]Sweeper schedule'!$H$6</definedName>
    <definedName name="ScheduledNumberOfPayments">'[15]Loan Schedule'!$I$4</definedName>
    <definedName name="ScheduledPayment">'[15]Loan Schedule'!$I$3</definedName>
    <definedName name="SOA.Condensed.New">IFERROR(IF([0]!LoanIsGood,IF([0]!PaymentsPerYear=1,1,MATCH(0.01,End_Bal,-1)+1)),"")</definedName>
    <definedName name="STMT_OF_ACT_CY" localSheetId="6">[1]FinPos!#REF!</definedName>
    <definedName name="STMT_OF_ACT_CY">[1]FinPos!#REF!</definedName>
    <definedName name="STMT_OF_ACT_PY" localSheetId="6">[1]FinPos!#REF!</definedName>
    <definedName name="STMT_OF_ACT_PY">[1]FinPos!#REF!</definedName>
    <definedName name="STMT_OF_CHANGES" localSheetId="6">[1]FinPos!#REF!</definedName>
    <definedName name="STMT_OF_CHANGES">[1]FinPos!#REF!</definedName>
    <definedName name="t_">Scheduled_Payment+Extra_Payment</definedName>
    <definedName name="TB">'[6]Trial Balance'!$A:$E</definedName>
    <definedName name="tbvl">[6]VLS!$B:$C</definedName>
    <definedName name="Total_Pay">'[12]Sweeper schedule'!$F$19:$F$79</definedName>
    <definedName name="Total_Payment">Scheduled_Payment+Extra_Payment</definedName>
    <definedName name="TotalEarlyPayments">SUM([15]!PaymentSchedule[EXTRA PAYMENT])</definedName>
    <definedName name="TotalInterest">SUM([15]!PaymentSchedule[INTEREST])</definedName>
    <definedName name="Values_Entered">IF(Loan_Amount*Interest_Rate*Loan_Years*Loan_Start&gt;0,1,0)</definedName>
    <definedName name="VHFund" localSheetId="6">[8]class!$B$75</definedName>
    <definedName name="VHFund">[9]class!$B$75</definedName>
    <definedName name="VLS">[6]VLS!$B:$E</definedName>
    <definedName name="x">#N/A</definedName>
  </definedNames>
  <calcPr calcId="181029"/>
</workbook>
</file>

<file path=xl/calcChain.xml><?xml version="1.0" encoding="utf-8"?>
<calcChain xmlns="http://schemas.openxmlformats.org/spreadsheetml/2006/main">
  <c r="U50" i="32" l="1"/>
  <c r="T50" i="32"/>
  <c r="S50" i="32"/>
  <c r="R50" i="32"/>
  <c r="Q50" i="32"/>
  <c r="P50" i="32"/>
  <c r="O50" i="32"/>
  <c r="N50" i="32"/>
  <c r="M50" i="32"/>
  <c r="L50" i="32"/>
  <c r="K50" i="32"/>
  <c r="J50" i="32"/>
  <c r="I50" i="32"/>
  <c r="I49" i="32"/>
  <c r="I44" i="32"/>
  <c r="J44" i="32" s="1"/>
  <c r="K44" i="32" s="1"/>
  <c r="L44" i="32" s="1"/>
  <c r="M44" i="32" s="1"/>
  <c r="N44" i="32" s="1"/>
  <c r="O44" i="32" s="1"/>
  <c r="P44" i="32" s="1"/>
  <c r="Q44" i="32" s="1"/>
  <c r="R44" i="32" s="1"/>
  <c r="S44" i="32" s="1"/>
  <c r="T44" i="32" s="1"/>
  <c r="U44" i="32" s="1"/>
  <c r="S43" i="32"/>
  <c r="T43" i="32" s="1"/>
  <c r="U43" i="32" s="1"/>
  <c r="R43" i="32"/>
  <c r="Q43" i="32"/>
  <c r="P43" i="32"/>
  <c r="O43" i="32"/>
  <c r="J43" i="32"/>
  <c r="K43" i="32" s="1"/>
  <c r="L43" i="32" s="1"/>
  <c r="M43" i="32" s="1"/>
  <c r="N43" i="32" s="1"/>
  <c r="I43" i="32"/>
  <c r="I41" i="32"/>
  <c r="J41" i="32" s="1"/>
  <c r="K41" i="32" s="1"/>
  <c r="L41" i="32" s="1"/>
  <c r="M41" i="32" s="1"/>
  <c r="N41" i="32" s="1"/>
  <c r="O41" i="32" s="1"/>
  <c r="P41" i="32" s="1"/>
  <c r="Q41" i="32" s="1"/>
  <c r="R41" i="32" s="1"/>
  <c r="S41" i="32" s="1"/>
  <c r="T41" i="32" s="1"/>
  <c r="U41" i="32" s="1"/>
  <c r="I40" i="32"/>
  <c r="J40" i="32" s="1"/>
  <c r="K40" i="32" s="1"/>
  <c r="L40" i="32" s="1"/>
  <c r="M40" i="32" s="1"/>
  <c r="N40" i="32" s="1"/>
  <c r="O40" i="32" s="1"/>
  <c r="P40" i="32" s="1"/>
  <c r="Q40" i="32" s="1"/>
  <c r="R40" i="32" s="1"/>
  <c r="S40" i="32" s="1"/>
  <c r="T40" i="32" s="1"/>
  <c r="U40" i="32" s="1"/>
  <c r="J39" i="32"/>
  <c r="K39" i="32" s="1"/>
  <c r="L39" i="32" s="1"/>
  <c r="M39" i="32" s="1"/>
  <c r="N39" i="32" s="1"/>
  <c r="O39" i="32" s="1"/>
  <c r="P39" i="32" s="1"/>
  <c r="Q39" i="32" s="1"/>
  <c r="R39" i="32" s="1"/>
  <c r="S39" i="32" s="1"/>
  <c r="T39" i="32" s="1"/>
  <c r="U39" i="32" s="1"/>
  <c r="I39" i="32"/>
  <c r="I42" i="32" s="1"/>
  <c r="U38" i="32"/>
  <c r="T38" i="32"/>
  <c r="S38" i="32"/>
  <c r="R38" i="32"/>
  <c r="Q38" i="32"/>
  <c r="P38" i="32"/>
  <c r="O38" i="32"/>
  <c r="N38" i="32"/>
  <c r="M38" i="32"/>
  <c r="L38" i="32"/>
  <c r="K38" i="32"/>
  <c r="J38" i="32"/>
  <c r="J42" i="32" s="1"/>
  <c r="O36" i="32"/>
  <c r="U35" i="32"/>
  <c r="U36" i="32" s="1"/>
  <c r="T35" i="32"/>
  <c r="T36" i="32" s="1"/>
  <c r="Q35" i="32"/>
  <c r="Q36" i="32" s="1"/>
  <c r="P35" i="32"/>
  <c r="P36" i="32" s="1"/>
  <c r="O35" i="32"/>
  <c r="M35" i="32"/>
  <c r="M36" i="32" s="1"/>
  <c r="I35" i="32"/>
  <c r="I36" i="32" s="1"/>
  <c r="I28" i="32"/>
  <c r="I29" i="32" s="1"/>
  <c r="U25" i="32"/>
  <c r="I25" i="32"/>
  <c r="J25" i="32" s="1"/>
  <c r="K25" i="32" s="1"/>
  <c r="L25" i="32" s="1"/>
  <c r="M25" i="32" s="1"/>
  <c r="N25" i="32" s="1"/>
  <c r="O25" i="32" s="1"/>
  <c r="P25" i="32" s="1"/>
  <c r="Q25" i="32" s="1"/>
  <c r="R25" i="32" s="1"/>
  <c r="S25" i="32" s="1"/>
  <c r="T25" i="32" s="1"/>
  <c r="J24" i="32"/>
  <c r="K24" i="32" s="1"/>
  <c r="L24" i="32" s="1"/>
  <c r="M24" i="32" s="1"/>
  <c r="N24" i="32" s="1"/>
  <c r="O24" i="32" s="1"/>
  <c r="P24" i="32" s="1"/>
  <c r="Q24" i="32" s="1"/>
  <c r="R24" i="32" s="1"/>
  <c r="S24" i="32" s="1"/>
  <c r="T24" i="32" s="1"/>
  <c r="U24" i="32" s="1"/>
  <c r="I24" i="32"/>
  <c r="K23" i="32"/>
  <c r="L23" i="32" s="1"/>
  <c r="M23" i="32" s="1"/>
  <c r="N23" i="32" s="1"/>
  <c r="O23" i="32" s="1"/>
  <c r="P23" i="32" s="1"/>
  <c r="Q23" i="32" s="1"/>
  <c r="R23" i="32" s="1"/>
  <c r="S23" i="32" s="1"/>
  <c r="T23" i="32" s="1"/>
  <c r="U23" i="32" s="1"/>
  <c r="J23" i="32"/>
  <c r="I23" i="32"/>
  <c r="U22" i="32"/>
  <c r="P22" i="32"/>
  <c r="Q22" i="32" s="1"/>
  <c r="R22" i="32" s="1"/>
  <c r="S22" i="32" s="1"/>
  <c r="T22" i="32" s="1"/>
  <c r="L22" i="32"/>
  <c r="M22" i="32" s="1"/>
  <c r="N22" i="32" s="1"/>
  <c r="O22" i="32" s="1"/>
  <c r="K22" i="32"/>
  <c r="J22" i="32"/>
  <c r="U21" i="32"/>
  <c r="L21" i="32"/>
  <c r="M21" i="32" s="1"/>
  <c r="K21" i="32"/>
  <c r="K26" i="32" s="1"/>
  <c r="J21" i="32"/>
  <c r="I18" i="32"/>
  <c r="J17" i="32"/>
  <c r="K17" i="32" s="1"/>
  <c r="L17" i="32" s="1"/>
  <c r="M17" i="32" s="1"/>
  <c r="N17" i="32" s="1"/>
  <c r="O17" i="32" s="1"/>
  <c r="P17" i="32" s="1"/>
  <c r="Q17" i="32" s="1"/>
  <c r="R17" i="32" s="1"/>
  <c r="S17" i="32" s="1"/>
  <c r="T17" i="32" s="1"/>
  <c r="U17" i="32" s="1"/>
  <c r="U18" i="32" s="1"/>
  <c r="I17" i="32"/>
  <c r="U16" i="32"/>
  <c r="S16" i="32"/>
  <c r="R16" i="32"/>
  <c r="O16" i="32"/>
  <c r="N16" i="32"/>
  <c r="L16" i="32"/>
  <c r="K16" i="32"/>
  <c r="K18" i="32" s="1"/>
  <c r="J16" i="32"/>
  <c r="J18" i="32" s="1"/>
  <c r="I16" i="32"/>
  <c r="T14" i="32"/>
  <c r="P14" i="32"/>
  <c r="L14" i="32"/>
  <c r="K14" i="32"/>
  <c r="U13" i="32"/>
  <c r="U14" i="32" s="1"/>
  <c r="T13" i="32"/>
  <c r="S13" i="32"/>
  <c r="S14" i="32" s="1"/>
  <c r="R13" i="32"/>
  <c r="R14" i="32" s="1"/>
  <c r="Q13" i="32"/>
  <c r="Q14" i="32" s="1"/>
  <c r="P13" i="32"/>
  <c r="O13" i="32"/>
  <c r="O14" i="32" s="1"/>
  <c r="L13" i="32"/>
  <c r="M13" i="32" s="1"/>
  <c r="K13" i="32"/>
  <c r="J13" i="32"/>
  <c r="J14" i="32" s="1"/>
  <c r="I13" i="32"/>
  <c r="I14" i="32" s="1"/>
  <c r="U10" i="32"/>
  <c r="M10" i="32"/>
  <c r="N10" i="32" s="1"/>
  <c r="O10" i="32" s="1"/>
  <c r="P10" i="32" s="1"/>
  <c r="Q10" i="32" s="1"/>
  <c r="R10" i="32" s="1"/>
  <c r="S10" i="32" s="1"/>
  <c r="T10" i="32" s="1"/>
  <c r="L10" i="32"/>
  <c r="K10" i="32"/>
  <c r="I10" i="32"/>
  <c r="J10" i="32" s="1"/>
  <c r="U9" i="32"/>
  <c r="N9" i="32"/>
  <c r="O9" i="32" s="1"/>
  <c r="P9" i="32" s="1"/>
  <c r="Q9" i="32" s="1"/>
  <c r="R9" i="32" s="1"/>
  <c r="S9" i="32" s="1"/>
  <c r="T9" i="32" s="1"/>
  <c r="M9" i="32"/>
  <c r="J9" i="32"/>
  <c r="K9" i="32" s="1"/>
  <c r="L9" i="32" s="1"/>
  <c r="I9" i="32"/>
  <c r="I8" i="32"/>
  <c r="J8" i="32" s="1"/>
  <c r="K8" i="32" s="1"/>
  <c r="L8" i="32" s="1"/>
  <c r="M8" i="32" s="1"/>
  <c r="N8" i="32" s="1"/>
  <c r="O8" i="32" s="1"/>
  <c r="P8" i="32" s="1"/>
  <c r="Q8" i="32" s="1"/>
  <c r="U7" i="32"/>
  <c r="T7" i="32"/>
  <c r="S7" i="32"/>
  <c r="R7" i="32"/>
  <c r="Q7" i="32"/>
  <c r="P7" i="32"/>
  <c r="O7" i="32"/>
  <c r="N7" i="32"/>
  <c r="M7" i="32"/>
  <c r="L7" i="32"/>
  <c r="K7" i="32"/>
  <c r="K11" i="32" s="1"/>
  <c r="K19" i="32" s="1"/>
  <c r="J7" i="32"/>
  <c r="J11" i="32" s="1"/>
  <c r="J19" i="32" s="1"/>
  <c r="I7" i="32"/>
  <c r="I11" i="32" s="1"/>
  <c r="I19" i="32" s="1"/>
  <c r="J51" i="19"/>
  <c r="P50" i="19"/>
  <c r="O50" i="19"/>
  <c r="N50" i="19"/>
  <c r="M50" i="19"/>
  <c r="L50" i="19"/>
  <c r="K50" i="19"/>
  <c r="K49" i="19"/>
  <c r="K51" i="19" s="1"/>
  <c r="J49" i="19"/>
  <c r="J45" i="19"/>
  <c r="O44" i="19"/>
  <c r="P44" i="19" s="1"/>
  <c r="N44" i="19"/>
  <c r="K44" i="19"/>
  <c r="L44" i="19" s="1"/>
  <c r="M44" i="19" s="1"/>
  <c r="P43" i="19"/>
  <c r="O43" i="19"/>
  <c r="N43" i="19"/>
  <c r="M43" i="19"/>
  <c r="K43" i="19"/>
  <c r="L43" i="19" s="1"/>
  <c r="J42" i="19"/>
  <c r="P41" i="19"/>
  <c r="O41" i="19"/>
  <c r="N41" i="19"/>
  <c r="L41" i="19"/>
  <c r="M41" i="19" s="1"/>
  <c r="K41" i="19"/>
  <c r="P40" i="19"/>
  <c r="O40" i="19"/>
  <c r="N40" i="19"/>
  <c r="L40" i="19"/>
  <c r="M40" i="19" s="1"/>
  <c r="K40" i="19"/>
  <c r="P39" i="19"/>
  <c r="O39" i="19"/>
  <c r="N39" i="19"/>
  <c r="L39" i="19"/>
  <c r="M39" i="19" s="1"/>
  <c r="K39" i="19"/>
  <c r="K42" i="19" s="1"/>
  <c r="K45" i="19" s="1"/>
  <c r="P38" i="19"/>
  <c r="P42" i="19" s="1"/>
  <c r="P45" i="19" s="1"/>
  <c r="L38" i="19"/>
  <c r="L42" i="19" s="1"/>
  <c r="L45" i="19" s="1"/>
  <c r="K38" i="19"/>
  <c r="P36" i="19"/>
  <c r="L36" i="19"/>
  <c r="J36" i="19"/>
  <c r="J46" i="19" s="1"/>
  <c r="J47" i="19" s="1"/>
  <c r="J52" i="19" s="1"/>
  <c r="P35" i="19"/>
  <c r="O35" i="19"/>
  <c r="O36" i="19" s="1"/>
  <c r="N35" i="19"/>
  <c r="N36" i="19" s="1"/>
  <c r="M35" i="19"/>
  <c r="M36" i="19" s="1"/>
  <c r="L35" i="19"/>
  <c r="K35" i="19"/>
  <c r="K36" i="19" s="1"/>
  <c r="K46" i="19" s="1"/>
  <c r="K47" i="19" s="1"/>
  <c r="L29" i="19"/>
  <c r="J29" i="19"/>
  <c r="O28" i="19"/>
  <c r="O29" i="19" s="1"/>
  <c r="N28" i="19"/>
  <c r="N29" i="19" s="1"/>
  <c r="M28" i="19"/>
  <c r="M29" i="19" s="1"/>
  <c r="L28" i="19"/>
  <c r="K28" i="19"/>
  <c r="K29" i="19" s="1"/>
  <c r="J26" i="19"/>
  <c r="P25" i="19"/>
  <c r="O25" i="19"/>
  <c r="N25" i="19"/>
  <c r="L25" i="19"/>
  <c r="M25" i="19" s="1"/>
  <c r="K25" i="19"/>
  <c r="N24" i="19"/>
  <c r="O24" i="19" s="1"/>
  <c r="P24" i="19" s="1"/>
  <c r="L24" i="19"/>
  <c r="M24" i="19" s="1"/>
  <c r="K24" i="19"/>
  <c r="P23" i="19"/>
  <c r="O23" i="19"/>
  <c r="N23" i="19"/>
  <c r="L23" i="19"/>
  <c r="M23" i="19" s="1"/>
  <c r="K23" i="19"/>
  <c r="P22" i="19"/>
  <c r="L22" i="19"/>
  <c r="M22" i="19" s="1"/>
  <c r="N22" i="19" s="1"/>
  <c r="O22" i="19" s="1"/>
  <c r="K22" i="19"/>
  <c r="P21" i="19"/>
  <c r="L21" i="19"/>
  <c r="L26" i="19" s="1"/>
  <c r="K21" i="19"/>
  <c r="K26" i="19" s="1"/>
  <c r="M18" i="19"/>
  <c r="N17" i="19"/>
  <c r="O17" i="19" s="1"/>
  <c r="M17" i="19"/>
  <c r="L17" i="19"/>
  <c r="K17" i="19"/>
  <c r="K18" i="19" s="1"/>
  <c r="P16" i="19"/>
  <c r="O16" i="19"/>
  <c r="N16" i="19"/>
  <c r="N18" i="19" s="1"/>
  <c r="M16" i="19"/>
  <c r="L16" i="19"/>
  <c r="L18" i="19" s="1"/>
  <c r="K16" i="19"/>
  <c r="J16" i="19"/>
  <c r="J18" i="19" s="1"/>
  <c r="M14" i="19"/>
  <c r="J14" i="19"/>
  <c r="P13" i="19"/>
  <c r="P14" i="19" s="1"/>
  <c r="O13" i="19"/>
  <c r="O14" i="19" s="1"/>
  <c r="N13" i="19"/>
  <c r="N14" i="19" s="1"/>
  <c r="M13" i="19"/>
  <c r="L13" i="19"/>
  <c r="L14" i="19" s="1"/>
  <c r="K13" i="19"/>
  <c r="K14" i="19" s="1"/>
  <c r="P10" i="19"/>
  <c r="O10" i="19"/>
  <c r="N10" i="19"/>
  <c r="K10" i="19"/>
  <c r="L10" i="19" s="1"/>
  <c r="M10" i="19" s="1"/>
  <c r="P9" i="19"/>
  <c r="O9" i="19"/>
  <c r="N9" i="19"/>
  <c r="M9" i="19"/>
  <c r="L9" i="19"/>
  <c r="K9" i="19"/>
  <c r="J9" i="19"/>
  <c r="P8" i="19"/>
  <c r="O8" i="19"/>
  <c r="N8" i="19"/>
  <c r="N11" i="19" s="1"/>
  <c r="L8" i="19"/>
  <c r="M8" i="19" s="1"/>
  <c r="K8" i="19"/>
  <c r="J8" i="19"/>
  <c r="J11" i="19" s="1"/>
  <c r="J19" i="19" s="1"/>
  <c r="J30" i="19" s="1"/>
  <c r="P7" i="19"/>
  <c r="P11" i="19" s="1"/>
  <c r="O7" i="19"/>
  <c r="O11" i="19" s="1"/>
  <c r="N7" i="19"/>
  <c r="M7" i="19"/>
  <c r="L7" i="19"/>
  <c r="L11" i="19" s="1"/>
  <c r="K7" i="19"/>
  <c r="K11" i="19" s="1"/>
  <c r="K19" i="19" s="1"/>
  <c r="K30" i="19" s="1"/>
  <c r="J7" i="19"/>
  <c r="J50" i="17"/>
  <c r="J49" i="17"/>
  <c r="J51" i="17" s="1"/>
  <c r="J44" i="17"/>
  <c r="J43" i="17"/>
  <c r="J41" i="17"/>
  <c r="J40" i="17"/>
  <c r="J39" i="17"/>
  <c r="J38" i="17"/>
  <c r="J42" i="17" s="1"/>
  <c r="J45" i="17" s="1"/>
  <c r="J35" i="17"/>
  <c r="J36" i="17" s="1"/>
  <c r="J28" i="17"/>
  <c r="J29" i="17" s="1"/>
  <c r="J25" i="17"/>
  <c r="J24" i="17"/>
  <c r="J23" i="17"/>
  <c r="J22" i="17"/>
  <c r="J26" i="17" s="1"/>
  <c r="J21" i="17"/>
  <c r="J17" i="17"/>
  <c r="J18" i="17" s="1"/>
  <c r="J16" i="17"/>
  <c r="J13" i="17"/>
  <c r="J14" i="17" s="1"/>
  <c r="J11" i="17"/>
  <c r="J10" i="17"/>
  <c r="J9" i="17"/>
  <c r="J8" i="17"/>
  <c r="J7" i="17"/>
  <c r="S51" i="30"/>
  <c r="O51" i="30"/>
  <c r="K51" i="30"/>
  <c r="T50" i="30"/>
  <c r="T51" i="30" s="1"/>
  <c r="S50" i="30"/>
  <c r="R50" i="30"/>
  <c r="R51" i="30" s="1"/>
  <c r="Q50" i="30"/>
  <c r="Q51" i="30" s="1"/>
  <c r="P50" i="30"/>
  <c r="P51" i="30" s="1"/>
  <c r="O50" i="30"/>
  <c r="N50" i="30"/>
  <c r="N51" i="30" s="1"/>
  <c r="M50" i="30"/>
  <c r="M51" i="30" s="1"/>
  <c r="L50" i="30"/>
  <c r="L51" i="30" s="1"/>
  <c r="K50" i="30"/>
  <c r="J50" i="30"/>
  <c r="J51" i="30" s="1"/>
  <c r="I50" i="30"/>
  <c r="I51" i="30" s="1"/>
  <c r="U49" i="30"/>
  <c r="T49" i="30"/>
  <c r="U45" i="30"/>
  <c r="T45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U44" i="30" s="1"/>
  <c r="T43" i="30"/>
  <c r="S43" i="30"/>
  <c r="R43" i="30"/>
  <c r="Q43" i="30"/>
  <c r="P43" i="30"/>
  <c r="O43" i="30"/>
  <c r="N43" i="30"/>
  <c r="M43" i="30"/>
  <c r="L43" i="30"/>
  <c r="K43" i="30"/>
  <c r="J43" i="30"/>
  <c r="I43" i="30"/>
  <c r="U43" i="30" s="1"/>
  <c r="T42" i="30"/>
  <c r="S42" i="30"/>
  <c r="R42" i="30"/>
  <c r="Q42" i="30"/>
  <c r="P42" i="30"/>
  <c r="O42" i="30"/>
  <c r="N42" i="30"/>
  <c r="M42" i="30"/>
  <c r="U42" i="30" s="1"/>
  <c r="L42" i="30"/>
  <c r="J42" i="30"/>
  <c r="T41" i="30"/>
  <c r="L41" i="30"/>
  <c r="I41" i="30"/>
  <c r="U41" i="30" s="1"/>
  <c r="U39" i="30"/>
  <c r="P39" i="30"/>
  <c r="T38" i="30"/>
  <c r="S38" i="30"/>
  <c r="R38" i="30"/>
  <c r="R40" i="30" s="1"/>
  <c r="Q38" i="30"/>
  <c r="P38" i="30"/>
  <c r="O38" i="30"/>
  <c r="O40" i="30" s="1"/>
  <c r="N38" i="30"/>
  <c r="M38" i="30"/>
  <c r="L38" i="30"/>
  <c r="K38" i="30"/>
  <c r="J38" i="30"/>
  <c r="I38" i="30"/>
  <c r="U38" i="30" s="1"/>
  <c r="T37" i="30"/>
  <c r="T40" i="30" s="1"/>
  <c r="S37" i="30"/>
  <c r="S40" i="30" s="1"/>
  <c r="Q37" i="30"/>
  <c r="Q40" i="30" s="1"/>
  <c r="N37" i="30"/>
  <c r="N40" i="30" s="1"/>
  <c r="L37" i="30"/>
  <c r="L40" i="30" s="1"/>
  <c r="K37" i="30"/>
  <c r="K40" i="30" s="1"/>
  <c r="I37" i="30"/>
  <c r="U37" i="30" s="1"/>
  <c r="P36" i="30"/>
  <c r="P40" i="30" s="1"/>
  <c r="I36" i="30"/>
  <c r="U36" i="30" s="1"/>
  <c r="I35" i="30"/>
  <c r="U35" i="30" s="1"/>
  <c r="U34" i="30"/>
  <c r="J34" i="30"/>
  <c r="J40" i="30" s="1"/>
  <c r="T33" i="30"/>
  <c r="M33" i="30"/>
  <c r="U33" i="30" s="1"/>
  <c r="U32" i="30"/>
  <c r="T31" i="30"/>
  <c r="R31" i="30"/>
  <c r="Q31" i="30"/>
  <c r="O31" i="30"/>
  <c r="N31" i="30"/>
  <c r="M31" i="30"/>
  <c r="K31" i="30"/>
  <c r="J31" i="30"/>
  <c r="I31" i="30"/>
  <c r="S30" i="30"/>
  <c r="S31" i="30" s="1"/>
  <c r="P30" i="30"/>
  <c r="P31" i="30" s="1"/>
  <c r="L30" i="30"/>
  <c r="L31" i="30" s="1"/>
  <c r="J30" i="30"/>
  <c r="U30" i="30" s="1"/>
  <c r="U29" i="30"/>
  <c r="K29" i="30"/>
  <c r="U28" i="30"/>
  <c r="K28" i="30"/>
  <c r="U27" i="30"/>
  <c r="T26" i="30"/>
  <c r="S26" i="30"/>
  <c r="R26" i="30"/>
  <c r="P26" i="30"/>
  <c r="O26" i="30"/>
  <c r="N26" i="30"/>
  <c r="M26" i="30"/>
  <c r="L26" i="30"/>
  <c r="J26" i="30"/>
  <c r="I26" i="30"/>
  <c r="T25" i="30"/>
  <c r="Q25" i="30"/>
  <c r="Q26" i="30" s="1"/>
  <c r="N25" i="30"/>
  <c r="K25" i="30"/>
  <c r="U25" i="30" s="1"/>
  <c r="U24" i="30"/>
  <c r="Q23" i="30"/>
  <c r="M23" i="30"/>
  <c r="I23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U22" i="30" s="1"/>
  <c r="T21" i="30"/>
  <c r="T23" i="30" s="1"/>
  <c r="S21" i="30"/>
  <c r="S23" i="30" s="1"/>
  <c r="R21" i="30"/>
  <c r="R23" i="30" s="1"/>
  <c r="Q21" i="30"/>
  <c r="P21" i="30"/>
  <c r="P23" i="30" s="1"/>
  <c r="O21" i="30"/>
  <c r="O23" i="30" s="1"/>
  <c r="N21" i="30"/>
  <c r="N23" i="30" s="1"/>
  <c r="M21" i="30"/>
  <c r="L21" i="30"/>
  <c r="L23" i="30" s="1"/>
  <c r="K21" i="30"/>
  <c r="K23" i="30" s="1"/>
  <c r="J21" i="30"/>
  <c r="J23" i="30" s="1"/>
  <c r="I21" i="30"/>
  <c r="U21" i="30" s="1"/>
  <c r="U20" i="30"/>
  <c r="T18" i="30"/>
  <c r="R18" i="30"/>
  <c r="Q18" i="30"/>
  <c r="P18" i="30"/>
  <c r="O18" i="30"/>
  <c r="N18" i="30"/>
  <c r="M18" i="30"/>
  <c r="L18" i="30"/>
  <c r="K18" i="30"/>
  <c r="J18" i="30"/>
  <c r="I18" i="30"/>
  <c r="U18" i="30" s="1"/>
  <c r="R17" i="30"/>
  <c r="N17" i="30"/>
  <c r="J17" i="30"/>
  <c r="U16" i="30"/>
  <c r="T16" i="30"/>
  <c r="T15" i="30"/>
  <c r="T17" i="30" s="1"/>
  <c r="S15" i="30"/>
  <c r="S17" i="30" s="1"/>
  <c r="R15" i="30"/>
  <c r="Q15" i="30"/>
  <c r="Q17" i="30" s="1"/>
  <c r="Q19" i="30" s="1"/>
  <c r="P15" i="30"/>
  <c r="P17" i="30" s="1"/>
  <c r="O15" i="30"/>
  <c r="O17" i="30" s="1"/>
  <c r="N15" i="30"/>
  <c r="M15" i="30"/>
  <c r="M17" i="30" s="1"/>
  <c r="M19" i="30" s="1"/>
  <c r="L15" i="30"/>
  <c r="L17" i="30" s="1"/>
  <c r="K15" i="30"/>
  <c r="K17" i="30" s="1"/>
  <c r="J15" i="30"/>
  <c r="I15" i="30"/>
  <c r="I17" i="30" s="1"/>
  <c r="U14" i="30"/>
  <c r="T13" i="30"/>
  <c r="T19" i="30" s="1"/>
  <c r="T46" i="30" s="1"/>
  <c r="S13" i="30"/>
  <c r="R13" i="30"/>
  <c r="R19" i="30" s="1"/>
  <c r="Q13" i="30"/>
  <c r="P13" i="30"/>
  <c r="P19" i="30" s="1"/>
  <c r="P46" i="30" s="1"/>
  <c r="O13" i="30"/>
  <c r="N13" i="30"/>
  <c r="N19" i="30" s="1"/>
  <c r="M13" i="30"/>
  <c r="L13" i="30"/>
  <c r="L19" i="30" s="1"/>
  <c r="L46" i="30" s="1"/>
  <c r="K13" i="30"/>
  <c r="J13" i="30"/>
  <c r="J19" i="30" s="1"/>
  <c r="I13" i="30"/>
  <c r="U13" i="30" s="1"/>
  <c r="U12" i="30"/>
  <c r="T8" i="30"/>
  <c r="O8" i="30"/>
  <c r="U8" i="30" s="1"/>
  <c r="T7" i="30"/>
  <c r="P7" i="30"/>
  <c r="N7" i="30"/>
  <c r="I7" i="30"/>
  <c r="U7" i="30" s="1"/>
  <c r="T6" i="30"/>
  <c r="S6" i="30"/>
  <c r="R6" i="30"/>
  <c r="Q6" i="30"/>
  <c r="P6" i="30"/>
  <c r="N6" i="30"/>
  <c r="M6" i="30"/>
  <c r="L6" i="30"/>
  <c r="J6" i="30"/>
  <c r="I6" i="30"/>
  <c r="U6" i="30" s="1"/>
  <c r="T5" i="30"/>
  <c r="T9" i="30" s="1"/>
  <c r="T10" i="30" s="1"/>
  <c r="S5" i="30"/>
  <c r="S9" i="30" s="1"/>
  <c r="S10" i="30" s="1"/>
  <c r="R5" i="30"/>
  <c r="R9" i="30" s="1"/>
  <c r="R10" i="30" s="1"/>
  <c r="Q5" i="30"/>
  <c r="Q9" i="30" s="1"/>
  <c r="Q10" i="30" s="1"/>
  <c r="P5" i="30"/>
  <c r="P9" i="30" s="1"/>
  <c r="P10" i="30" s="1"/>
  <c r="O5" i="30"/>
  <c r="O9" i="30" s="1"/>
  <c r="O10" i="30" s="1"/>
  <c r="N5" i="30"/>
  <c r="N9" i="30" s="1"/>
  <c r="N10" i="30" s="1"/>
  <c r="M5" i="30"/>
  <c r="M9" i="30" s="1"/>
  <c r="M10" i="30" s="1"/>
  <c r="L5" i="30"/>
  <c r="L9" i="30" s="1"/>
  <c r="L10" i="30" s="1"/>
  <c r="K5" i="30"/>
  <c r="K9" i="30" s="1"/>
  <c r="K10" i="30" s="1"/>
  <c r="J5" i="30"/>
  <c r="J9" i="30" s="1"/>
  <c r="J10" i="30" s="1"/>
  <c r="I5" i="30"/>
  <c r="I9" i="30" s="1"/>
  <c r="L11" i="32" l="1"/>
  <c r="P11" i="32"/>
  <c r="M14" i="32"/>
  <c r="N13" i="32"/>
  <c r="N14" i="32" s="1"/>
  <c r="M11" i="32"/>
  <c r="N11" i="32"/>
  <c r="R8" i="32"/>
  <c r="Q11" i="32"/>
  <c r="O42" i="32"/>
  <c r="O45" i="32" s="1"/>
  <c r="O46" i="32" s="1"/>
  <c r="O47" i="32" s="1"/>
  <c r="S42" i="32"/>
  <c r="S45" i="32" s="1"/>
  <c r="U26" i="32"/>
  <c r="L26" i="32"/>
  <c r="Q42" i="32"/>
  <c r="Q45" i="32" s="1"/>
  <c r="R18" i="32"/>
  <c r="N21" i="32"/>
  <c r="M26" i="32"/>
  <c r="J45" i="32"/>
  <c r="N42" i="32"/>
  <c r="N45" i="32" s="1"/>
  <c r="R42" i="32"/>
  <c r="R45" i="32" s="1"/>
  <c r="I45" i="32"/>
  <c r="K42" i="32"/>
  <c r="K45" i="32" s="1"/>
  <c r="I51" i="32"/>
  <c r="J49" i="32"/>
  <c r="M46" i="32"/>
  <c r="M47" i="32" s="1"/>
  <c r="M42" i="32"/>
  <c r="M45" i="32" s="1"/>
  <c r="U42" i="32"/>
  <c r="U45" i="32" s="1"/>
  <c r="U46" i="32" s="1"/>
  <c r="U47" i="32" s="1"/>
  <c r="L18" i="32"/>
  <c r="S18" i="32"/>
  <c r="T16" i="32"/>
  <c r="T18" i="32" s="1"/>
  <c r="I46" i="32"/>
  <c r="I47" i="32" s="1"/>
  <c r="I52" i="32" s="1"/>
  <c r="O18" i="32"/>
  <c r="P16" i="32"/>
  <c r="T46" i="32"/>
  <c r="T47" i="32" s="1"/>
  <c r="O11" i="32"/>
  <c r="N18" i="32"/>
  <c r="J26" i="32"/>
  <c r="I26" i="32"/>
  <c r="I30" i="32" s="1"/>
  <c r="Q46" i="32"/>
  <c r="Q47" i="32" s="1"/>
  <c r="L42" i="32"/>
  <c r="L45" i="32" s="1"/>
  <c r="P42" i="32"/>
  <c r="P45" i="32" s="1"/>
  <c r="P46" i="32" s="1"/>
  <c r="P47" i="32" s="1"/>
  <c r="T42" i="32"/>
  <c r="T45" i="32" s="1"/>
  <c r="M16" i="32"/>
  <c r="M18" i="32" s="1"/>
  <c r="J35" i="32"/>
  <c r="N35" i="32"/>
  <c r="N36" i="32" s="1"/>
  <c r="N46" i="32" s="1"/>
  <c r="N47" i="32" s="1"/>
  <c r="R35" i="32"/>
  <c r="J28" i="32"/>
  <c r="L19" i="19"/>
  <c r="L30" i="19" s="1"/>
  <c r="N19" i="19"/>
  <c r="P18" i="19"/>
  <c r="P19" i="19" s="1"/>
  <c r="P30" i="19" s="1"/>
  <c r="O18" i="19"/>
  <c r="O19" i="19" s="1"/>
  <c r="P17" i="19"/>
  <c r="P26" i="19"/>
  <c r="L46" i="19"/>
  <c r="L47" i="19" s="1"/>
  <c r="M11" i="19"/>
  <c r="M19" i="19" s="1"/>
  <c r="K52" i="19"/>
  <c r="P46" i="19"/>
  <c r="P47" i="19" s="1"/>
  <c r="M21" i="19"/>
  <c r="P28" i="19"/>
  <c r="P29" i="19" s="1"/>
  <c r="M38" i="19"/>
  <c r="L49" i="19"/>
  <c r="J19" i="17"/>
  <c r="J30" i="17" s="1"/>
  <c r="J46" i="17"/>
  <c r="J47" i="17" s="1"/>
  <c r="J52" i="17" s="1"/>
  <c r="U51" i="30"/>
  <c r="S47" i="30"/>
  <c r="S52" i="30" s="1"/>
  <c r="J46" i="30"/>
  <c r="J47" i="30" s="1"/>
  <c r="J52" i="30" s="1"/>
  <c r="N46" i="30"/>
  <c r="N47" i="30" s="1"/>
  <c r="N52" i="30" s="1"/>
  <c r="R46" i="30"/>
  <c r="R47" i="30" s="1"/>
  <c r="R52" i="30" s="1"/>
  <c r="U17" i="30"/>
  <c r="I19" i="30"/>
  <c r="Q46" i="30"/>
  <c r="U31" i="30"/>
  <c r="U9" i="30"/>
  <c r="I10" i="30"/>
  <c r="Q47" i="30"/>
  <c r="Q52" i="30" s="1"/>
  <c r="L47" i="30"/>
  <c r="L52" i="30" s="1"/>
  <c r="P47" i="30"/>
  <c r="P52" i="30" s="1"/>
  <c r="T47" i="30"/>
  <c r="T52" i="30" s="1"/>
  <c r="K19" i="30"/>
  <c r="O19" i="30"/>
  <c r="O46" i="30" s="1"/>
  <c r="O47" i="30" s="1"/>
  <c r="O52" i="30" s="1"/>
  <c r="S19" i="30"/>
  <c r="S46" i="30" s="1"/>
  <c r="U23" i="30"/>
  <c r="K26" i="30"/>
  <c r="U26" i="30" s="1"/>
  <c r="I40" i="30"/>
  <c r="U40" i="30" s="1"/>
  <c r="M40" i="30"/>
  <c r="M46" i="30" s="1"/>
  <c r="M47" i="30" s="1"/>
  <c r="M52" i="30" s="1"/>
  <c r="U50" i="30"/>
  <c r="U15" i="30"/>
  <c r="U5" i="30"/>
  <c r="K50" i="13"/>
  <c r="K51" i="13" s="1"/>
  <c r="J50" i="13"/>
  <c r="J51" i="13" s="1"/>
  <c r="I50" i="13"/>
  <c r="L50" i="13" s="1"/>
  <c r="I49" i="13"/>
  <c r="L49" i="13" s="1"/>
  <c r="I45" i="13"/>
  <c r="L45" i="13" s="1"/>
  <c r="K44" i="13"/>
  <c r="I44" i="13"/>
  <c r="L44" i="13" s="1"/>
  <c r="L43" i="13"/>
  <c r="J43" i="13"/>
  <c r="I43" i="13"/>
  <c r="I42" i="13"/>
  <c r="L42" i="13" s="1"/>
  <c r="I41" i="13"/>
  <c r="L41" i="13" s="1"/>
  <c r="J40" i="13"/>
  <c r="K39" i="13"/>
  <c r="L39" i="13" s="1"/>
  <c r="L38" i="13"/>
  <c r="K38" i="13"/>
  <c r="K37" i="13"/>
  <c r="L37" i="13" s="1"/>
  <c r="L36" i="13"/>
  <c r="K36" i="13"/>
  <c r="I36" i="13"/>
  <c r="I35" i="13"/>
  <c r="L35" i="13" s="1"/>
  <c r="L34" i="13"/>
  <c r="K34" i="13"/>
  <c r="K33" i="13"/>
  <c r="K40" i="13" s="1"/>
  <c r="I33" i="13"/>
  <c r="I40" i="13" s="1"/>
  <c r="L32" i="13"/>
  <c r="J31" i="13"/>
  <c r="K30" i="13"/>
  <c r="L30" i="13" s="1"/>
  <c r="L29" i="13"/>
  <c r="I29" i="13"/>
  <c r="I31" i="13" s="1"/>
  <c r="K28" i="13"/>
  <c r="K31" i="13" s="1"/>
  <c r="L27" i="13"/>
  <c r="J26" i="13"/>
  <c r="I26" i="13"/>
  <c r="K25" i="13"/>
  <c r="L25" i="13" s="1"/>
  <c r="L24" i="13"/>
  <c r="J23" i="13"/>
  <c r="K22" i="13"/>
  <c r="I22" i="13"/>
  <c r="L22" i="13" s="1"/>
  <c r="K21" i="13"/>
  <c r="K23" i="13" s="1"/>
  <c r="J21" i="13"/>
  <c r="I21" i="13"/>
  <c r="I23" i="13" s="1"/>
  <c r="L20" i="13"/>
  <c r="K18" i="13"/>
  <c r="J18" i="13"/>
  <c r="I18" i="13"/>
  <c r="L18" i="13" s="1"/>
  <c r="I17" i="13"/>
  <c r="L16" i="13"/>
  <c r="K16" i="13"/>
  <c r="K15" i="13"/>
  <c r="K17" i="13" s="1"/>
  <c r="J15" i="13"/>
  <c r="J17" i="13" s="1"/>
  <c r="J19" i="13" s="1"/>
  <c r="J46" i="13" s="1"/>
  <c r="I15" i="13"/>
  <c r="L14" i="13"/>
  <c r="K13" i="13"/>
  <c r="K19" i="13" s="1"/>
  <c r="J13" i="13"/>
  <c r="I13" i="13"/>
  <c r="I19" i="13" s="1"/>
  <c r="L12" i="13"/>
  <c r="J9" i="13"/>
  <c r="J10" i="13" s="1"/>
  <c r="I9" i="13"/>
  <c r="I10" i="13" s="1"/>
  <c r="L8" i="13"/>
  <c r="I8" i="13"/>
  <c r="K7" i="13"/>
  <c r="L7" i="13" s="1"/>
  <c r="L6" i="13"/>
  <c r="K6" i="13"/>
  <c r="K5" i="13"/>
  <c r="K9" i="13" s="1"/>
  <c r="K10" i="13" s="1"/>
  <c r="J36" i="32" l="1"/>
  <c r="J46" i="32" s="1"/>
  <c r="J47" i="32" s="1"/>
  <c r="J52" i="32" s="1"/>
  <c r="K35" i="32"/>
  <c r="P18" i="32"/>
  <c r="Q16" i="32"/>
  <c r="Q18" i="32" s="1"/>
  <c r="Q19" i="32" s="1"/>
  <c r="R11" i="32"/>
  <c r="R19" i="32" s="1"/>
  <c r="S8" i="32"/>
  <c r="O21" i="32"/>
  <c r="N26" i="32"/>
  <c r="J29" i="32"/>
  <c r="J30" i="32" s="1"/>
  <c r="K28" i="32"/>
  <c r="N19" i="32"/>
  <c r="M19" i="32"/>
  <c r="P19" i="32"/>
  <c r="R36" i="32"/>
  <c r="R46" i="32" s="1"/>
  <c r="R47" i="32" s="1"/>
  <c r="S35" i="32"/>
  <c r="S36" i="32" s="1"/>
  <c r="S46" i="32" s="1"/>
  <c r="S47" i="32" s="1"/>
  <c r="O19" i="32"/>
  <c r="J51" i="32"/>
  <c r="K49" i="32"/>
  <c r="L19" i="32"/>
  <c r="N38" i="19"/>
  <c r="M42" i="19"/>
  <c r="M45" i="19" s="1"/>
  <c r="M46" i="19" s="1"/>
  <c r="M47" i="19" s="1"/>
  <c r="L52" i="19"/>
  <c r="N21" i="19"/>
  <c r="M26" i="19"/>
  <c r="M30" i="19"/>
  <c r="L51" i="19"/>
  <c r="M49" i="19"/>
  <c r="K46" i="30"/>
  <c r="K47" i="30" s="1"/>
  <c r="K52" i="30" s="1"/>
  <c r="U10" i="30"/>
  <c r="U19" i="30"/>
  <c r="I46" i="30"/>
  <c r="U46" i="30" s="1"/>
  <c r="I46" i="13"/>
  <c r="L19" i="13"/>
  <c r="I47" i="13"/>
  <c r="L10" i="13"/>
  <c r="L17" i="13"/>
  <c r="L23" i="13"/>
  <c r="L26" i="13"/>
  <c r="L31" i="13"/>
  <c r="J47" i="13"/>
  <c r="J52" i="13" s="1"/>
  <c r="L40" i="13"/>
  <c r="L15" i="13"/>
  <c r="K26" i="13"/>
  <c r="K46" i="13" s="1"/>
  <c r="K47" i="13" s="1"/>
  <c r="K52" i="13" s="1"/>
  <c r="L28" i="13"/>
  <c r="L33" i="13"/>
  <c r="I51" i="13"/>
  <c r="L51" i="13" s="1"/>
  <c r="L5" i="13"/>
  <c r="L9" i="13"/>
  <c r="L13" i="13"/>
  <c r="L21" i="13"/>
  <c r="O26" i="32" l="1"/>
  <c r="P21" i="32"/>
  <c r="K29" i="32"/>
  <c r="K30" i="32" s="1"/>
  <c r="L28" i="32"/>
  <c r="L49" i="32"/>
  <c r="K51" i="32"/>
  <c r="T8" i="32"/>
  <c r="S11" i="32"/>
  <c r="S19" i="32" s="1"/>
  <c r="L35" i="32"/>
  <c r="L36" i="32" s="1"/>
  <c r="L46" i="32" s="1"/>
  <c r="L47" i="32" s="1"/>
  <c r="K36" i="32"/>
  <c r="K46" i="32" s="1"/>
  <c r="K47" i="32" s="1"/>
  <c r="K52" i="32" s="1"/>
  <c r="M51" i="19"/>
  <c r="M52" i="19" s="1"/>
  <c r="N49" i="19"/>
  <c r="N42" i="19"/>
  <c r="N45" i="19" s="1"/>
  <c r="N46" i="19" s="1"/>
  <c r="N47" i="19" s="1"/>
  <c r="O38" i="19"/>
  <c r="O42" i="19" s="1"/>
  <c r="O45" i="19" s="1"/>
  <c r="O46" i="19" s="1"/>
  <c r="O47" i="19" s="1"/>
  <c r="O21" i="19"/>
  <c r="O26" i="19" s="1"/>
  <c r="O30" i="19" s="1"/>
  <c r="N26" i="19"/>
  <c r="N30" i="19" s="1"/>
  <c r="I47" i="30"/>
  <c r="L47" i="13"/>
  <c r="I52" i="13"/>
  <c r="L52" i="13" s="1"/>
  <c r="L46" i="13"/>
  <c r="L29" i="32" l="1"/>
  <c r="L30" i="32" s="1"/>
  <c r="M28" i="32"/>
  <c r="Q21" i="32"/>
  <c r="P26" i="32"/>
  <c r="U8" i="32"/>
  <c r="U11" i="32" s="1"/>
  <c r="U19" i="32" s="1"/>
  <c r="T11" i="32"/>
  <c r="T19" i="32" s="1"/>
  <c r="L52" i="32"/>
  <c r="L51" i="32"/>
  <c r="M49" i="32"/>
  <c r="N51" i="19"/>
  <c r="N52" i="19" s="1"/>
  <c r="O49" i="19"/>
  <c r="I52" i="30"/>
  <c r="U52" i="30" s="1"/>
  <c r="U47" i="30"/>
  <c r="H65" i="1"/>
  <c r="K11" i="4"/>
  <c r="K9" i="4"/>
  <c r="D28" i="36"/>
  <c r="C28" i="36"/>
  <c r="B28" i="36"/>
  <c r="H27" i="36"/>
  <c r="I27" i="36" s="1"/>
  <c r="E27" i="36"/>
  <c r="H26" i="36"/>
  <c r="I26" i="36" s="1"/>
  <c r="E26" i="36"/>
  <c r="H25" i="36"/>
  <c r="I25" i="36" s="1"/>
  <c r="E25" i="36"/>
  <c r="B18" i="36"/>
  <c r="B30" i="36" s="1"/>
  <c r="D18" i="36"/>
  <c r="D30" i="36" s="1"/>
  <c r="C18" i="36"/>
  <c r="E17" i="36"/>
  <c r="E16" i="36"/>
  <c r="C30" i="36" l="1"/>
  <c r="R21" i="32"/>
  <c r="Q26" i="32"/>
  <c r="M51" i="32"/>
  <c r="M52" i="32" s="1"/>
  <c r="N49" i="32"/>
  <c r="M29" i="32"/>
  <c r="M30" i="32" s="1"/>
  <c r="N28" i="32"/>
  <c r="O51" i="19"/>
  <c r="O52" i="19" s="1"/>
  <c r="P49" i="19"/>
  <c r="P51" i="19" s="1"/>
  <c r="P52" i="19" s="1"/>
  <c r="E28" i="36"/>
  <c r="H66" i="1" s="1"/>
  <c r="K10" i="4"/>
  <c r="J27" i="36"/>
  <c r="J26" i="36"/>
  <c r="J25" i="36"/>
  <c r="O28" i="32" l="1"/>
  <c r="N29" i="32"/>
  <c r="N30" i="32" s="1"/>
  <c r="S21" i="32"/>
  <c r="R26" i="32"/>
  <c r="N51" i="32"/>
  <c r="N52" i="32" s="1"/>
  <c r="O49" i="32"/>
  <c r="H19" i="1"/>
  <c r="K48" i="15"/>
  <c r="K49" i="15" s="1"/>
  <c r="J48" i="15"/>
  <c r="J49" i="15" s="1"/>
  <c r="I48" i="15"/>
  <c r="L48" i="15" s="1"/>
  <c r="I47" i="15"/>
  <c r="L47" i="15" s="1"/>
  <c r="K43" i="15"/>
  <c r="L43" i="15" s="1"/>
  <c r="I43" i="15"/>
  <c r="I42" i="15"/>
  <c r="L42" i="15" s="1"/>
  <c r="L41" i="15"/>
  <c r="I41" i="15"/>
  <c r="J40" i="15"/>
  <c r="I40" i="15"/>
  <c r="L40" i="15" s="1"/>
  <c r="J39" i="15"/>
  <c r="I39" i="15"/>
  <c r="L39" i="15" s="1"/>
  <c r="L38" i="15"/>
  <c r="J38" i="15"/>
  <c r="I38" i="15"/>
  <c r="K37" i="15"/>
  <c r="J37" i="15"/>
  <c r="K36" i="15"/>
  <c r="L36" i="15" s="1"/>
  <c r="L35" i="15"/>
  <c r="K35" i="15"/>
  <c r="K34" i="15"/>
  <c r="L34" i="15" s="1"/>
  <c r="L33" i="15"/>
  <c r="K33" i="15"/>
  <c r="I33" i="15"/>
  <c r="I37" i="15" s="1"/>
  <c r="L37" i="15" s="1"/>
  <c r="L32" i="15"/>
  <c r="K32" i="15"/>
  <c r="K31" i="15"/>
  <c r="L31" i="15" s="1"/>
  <c r="L30" i="15"/>
  <c r="J29" i="15"/>
  <c r="I29" i="15"/>
  <c r="L28" i="15"/>
  <c r="K28" i="15"/>
  <c r="K27" i="15"/>
  <c r="K29" i="15" s="1"/>
  <c r="L26" i="15"/>
  <c r="J25" i="15"/>
  <c r="I25" i="15"/>
  <c r="K24" i="15"/>
  <c r="L24" i="15" s="1"/>
  <c r="L23" i="15"/>
  <c r="I22" i="15"/>
  <c r="L21" i="15"/>
  <c r="K21" i="15"/>
  <c r="K20" i="15"/>
  <c r="K22" i="15" s="1"/>
  <c r="J20" i="15"/>
  <c r="J22" i="15" s="1"/>
  <c r="I20" i="15"/>
  <c r="L19" i="15"/>
  <c r="L17" i="15"/>
  <c r="K17" i="15"/>
  <c r="J17" i="15"/>
  <c r="I17" i="15"/>
  <c r="L15" i="15"/>
  <c r="K15" i="15"/>
  <c r="K16" i="15" s="1"/>
  <c r="K14" i="15"/>
  <c r="J14" i="15"/>
  <c r="J16" i="15" s="1"/>
  <c r="I14" i="15"/>
  <c r="L14" i="15" s="1"/>
  <c r="L13" i="15"/>
  <c r="K12" i="15"/>
  <c r="K18" i="15" s="1"/>
  <c r="J12" i="15"/>
  <c r="J18" i="15" s="1"/>
  <c r="J44" i="15" s="1"/>
  <c r="I12" i="15"/>
  <c r="L11" i="15"/>
  <c r="J8" i="15"/>
  <c r="J9" i="15" s="1"/>
  <c r="I8" i="15"/>
  <c r="I9" i="15" s="1"/>
  <c r="L7" i="15"/>
  <c r="K7" i="15"/>
  <c r="L6" i="15"/>
  <c r="K6" i="15"/>
  <c r="L5" i="15"/>
  <c r="K5" i="15"/>
  <c r="K8" i="15" s="1"/>
  <c r="P49" i="32" l="1"/>
  <c r="O51" i="32"/>
  <c r="O52" i="32" s="1"/>
  <c r="S26" i="32"/>
  <c r="T21" i="32"/>
  <c r="T26" i="32" s="1"/>
  <c r="O29" i="32"/>
  <c r="O30" i="32" s="1"/>
  <c r="P28" i="32"/>
  <c r="K9" i="15"/>
  <c r="L8" i="15"/>
  <c r="L22" i="15"/>
  <c r="L29" i="15"/>
  <c r="L9" i="15"/>
  <c r="J45" i="15"/>
  <c r="J50" i="15" s="1"/>
  <c r="L12" i="15"/>
  <c r="I16" i="15"/>
  <c r="L16" i="15" s="1"/>
  <c r="L20" i="15"/>
  <c r="K25" i="15"/>
  <c r="K44" i="15" s="1"/>
  <c r="L27" i="15"/>
  <c r="I49" i="15"/>
  <c r="L49" i="15" s="1"/>
  <c r="P29" i="32" l="1"/>
  <c r="P30" i="32" s="1"/>
  <c r="Q28" i="32"/>
  <c r="P51" i="32"/>
  <c r="P52" i="32" s="1"/>
  <c r="Q49" i="32"/>
  <c r="K45" i="15"/>
  <c r="K50" i="15" s="1"/>
  <c r="I18" i="15"/>
  <c r="L25" i="15"/>
  <c r="Q51" i="32" l="1"/>
  <c r="Q52" i="32" s="1"/>
  <c r="R49" i="32"/>
  <c r="Q29" i="32"/>
  <c r="Q30" i="32" s="1"/>
  <c r="R28" i="32"/>
  <c r="I44" i="15"/>
  <c r="L18" i="15"/>
  <c r="S28" i="32" l="1"/>
  <c r="R29" i="32"/>
  <c r="R30" i="32" s="1"/>
  <c r="R51" i="32"/>
  <c r="R52" i="32" s="1"/>
  <c r="S49" i="32"/>
  <c r="L44" i="15"/>
  <c r="I45" i="15"/>
  <c r="T49" i="32" l="1"/>
  <c r="S51" i="32"/>
  <c r="S52" i="32" s="1"/>
  <c r="S29" i="32"/>
  <c r="S30" i="32" s="1"/>
  <c r="T28" i="32"/>
  <c r="L45" i="15"/>
  <c r="I50" i="15"/>
  <c r="L50" i="15" s="1"/>
  <c r="T29" i="32" l="1"/>
  <c r="T30" i="32" s="1"/>
  <c r="U28" i="32"/>
  <c r="U29" i="32" s="1"/>
  <c r="U30" i="32" s="1"/>
  <c r="T51" i="32"/>
  <c r="T52" i="32" s="1"/>
  <c r="U49" i="32"/>
  <c r="U51" i="32" s="1"/>
  <c r="U52" i="32" s="1"/>
  <c r="E33" i="36" l="1"/>
  <c r="H33" i="36"/>
  <c r="I33" i="36" s="1"/>
  <c r="E34" i="36"/>
  <c r="H34" i="36"/>
  <c r="I34" i="36" s="1"/>
  <c r="E35" i="36"/>
  <c r="J35" i="36" s="1"/>
  <c r="I35" i="36"/>
  <c r="B36" i="36"/>
  <c r="B38" i="36" s="1"/>
  <c r="B46" i="36" s="1"/>
  <c r="C36" i="36"/>
  <c r="C38" i="36" s="1"/>
  <c r="C46" i="36" s="1"/>
  <c r="D36" i="36"/>
  <c r="D38" i="36" s="1"/>
  <c r="D46" i="36" s="1"/>
  <c r="G36" i="36"/>
  <c r="E37" i="36"/>
  <c r="A1" i="36"/>
  <c r="J44" i="36"/>
  <c r="I44" i="36"/>
  <c r="H44" i="36"/>
  <c r="G44" i="36"/>
  <c r="D44" i="36"/>
  <c r="C44" i="36"/>
  <c r="B44" i="36"/>
  <c r="E42" i="36"/>
  <c r="E44" i="36" s="1"/>
  <c r="E39" i="36"/>
  <c r="G30" i="36"/>
  <c r="H29" i="36"/>
  <c r="J29" i="36" s="1"/>
  <c r="H28" i="36"/>
  <c r="I28" i="36" s="1"/>
  <c r="H24" i="36"/>
  <c r="I24" i="36" s="1"/>
  <c r="H23" i="36"/>
  <c r="I23" i="36" s="1"/>
  <c r="H22" i="36"/>
  <c r="I22" i="36" s="1"/>
  <c r="E22" i="36"/>
  <c r="H21" i="36"/>
  <c r="I21" i="36" s="1"/>
  <c r="E21" i="36"/>
  <c r="H20" i="36"/>
  <c r="J20" i="36" s="1"/>
  <c r="H19" i="36"/>
  <c r="I19" i="36" s="1"/>
  <c r="H15" i="36"/>
  <c r="I15" i="36" s="1"/>
  <c r="E15" i="36"/>
  <c r="H14" i="36"/>
  <c r="I14" i="36" s="1"/>
  <c r="E14" i="36"/>
  <c r="H13" i="36"/>
  <c r="I13" i="36" s="1"/>
  <c r="J9" i="36"/>
  <c r="H9" i="36"/>
  <c r="G9" i="36"/>
  <c r="E8" i="36"/>
  <c r="I7" i="36"/>
  <c r="I9" i="36" s="1"/>
  <c r="E18" i="36" l="1"/>
  <c r="E30" i="36" s="1"/>
  <c r="E36" i="36"/>
  <c r="J34" i="36"/>
  <c r="J15" i="36"/>
  <c r="J33" i="36"/>
  <c r="I36" i="36"/>
  <c r="H36" i="36"/>
  <c r="G38" i="36"/>
  <c r="G46" i="36" s="1"/>
  <c r="G48" i="36" s="1"/>
  <c r="J14" i="36"/>
  <c r="J13" i="36"/>
  <c r="J28" i="36"/>
  <c r="J22" i="36"/>
  <c r="J19" i="36"/>
  <c r="J24" i="36"/>
  <c r="J21" i="36"/>
  <c r="K13" i="4"/>
  <c r="I13" i="4" s="1"/>
  <c r="M13" i="4" s="1"/>
  <c r="H30" i="36"/>
  <c r="I20" i="36"/>
  <c r="J23" i="36"/>
  <c r="I29" i="36"/>
  <c r="E38" i="36" l="1"/>
  <c r="E46" i="36" s="1"/>
  <c r="J36" i="36"/>
  <c r="H38" i="36"/>
  <c r="H46" i="36" s="1"/>
  <c r="H48" i="36" s="1"/>
  <c r="I30" i="36"/>
  <c r="J30" i="36"/>
  <c r="J38" i="36" l="1"/>
  <c r="J46" i="36" s="1"/>
  <c r="J48" i="36" s="1"/>
  <c r="I38" i="36"/>
  <c r="I46" i="36" s="1"/>
  <c r="I48" i="36" s="1"/>
  <c r="G9" i="10" l="1"/>
  <c r="M32" i="4" l="1"/>
  <c r="M6" i="4"/>
  <c r="J48" i="16"/>
  <c r="J47" i="16"/>
  <c r="J49" i="16" s="1"/>
  <c r="J42" i="16"/>
  <c r="J41" i="16"/>
  <c r="J39" i="16"/>
  <c r="J38" i="16"/>
  <c r="J37" i="16"/>
  <c r="J40" i="16" s="1"/>
  <c r="J34" i="16"/>
  <c r="J33" i="16"/>
  <c r="J26" i="16"/>
  <c r="J27" i="16" s="1"/>
  <c r="J23" i="16"/>
  <c r="J22" i="16"/>
  <c r="J21" i="16"/>
  <c r="J17" i="16"/>
  <c r="J16" i="16"/>
  <c r="J18" i="16" s="1"/>
  <c r="J13" i="16"/>
  <c r="J14" i="16" s="1"/>
  <c r="J10" i="16"/>
  <c r="J9" i="16"/>
  <c r="J8" i="16"/>
  <c r="J7" i="16"/>
  <c r="J11" i="16" s="1"/>
  <c r="J19" i="16" s="1"/>
  <c r="D8" i="29"/>
  <c r="B10" i="29"/>
  <c r="C8" i="29"/>
  <c r="E8" i="29" s="1"/>
  <c r="G8" i="29" s="1"/>
  <c r="B8" i="29"/>
  <c r="J43" i="16" l="1"/>
  <c r="J44" i="16" s="1"/>
  <c r="J45" i="16" s="1"/>
  <c r="J50" i="16" s="1"/>
  <c r="J24" i="16"/>
  <c r="J28" i="16" s="1"/>
  <c r="C10" i="29"/>
  <c r="H10" i="10" l="1"/>
  <c r="H9" i="10"/>
  <c r="G7" i="10"/>
  <c r="F4" i="29" l="1"/>
  <c r="B62" i="19" l="1"/>
  <c r="B61" i="19"/>
  <c r="B60" i="19"/>
  <c r="B59" i="19"/>
  <c r="B58" i="19"/>
  <c r="B57" i="19"/>
  <c r="B56" i="19"/>
  <c r="B55" i="19"/>
  <c r="B54" i="19"/>
  <c r="B53" i="19"/>
  <c r="B52" i="19"/>
  <c r="B51" i="19"/>
  <c r="B159" i="32" l="1"/>
  <c r="B158" i="32"/>
  <c r="B157" i="32"/>
  <c r="B156" i="32"/>
  <c r="B155" i="32"/>
  <c r="B154" i="32"/>
  <c r="B153" i="32"/>
  <c r="B152" i="32"/>
  <c r="B151" i="32"/>
  <c r="B150" i="32"/>
  <c r="B149" i="32"/>
  <c r="B148" i="32"/>
  <c r="B147" i="32"/>
  <c r="B146" i="32"/>
  <c r="B145" i="32"/>
  <c r="B144" i="32"/>
  <c r="B143" i="32"/>
  <c r="B142" i="32"/>
  <c r="B141" i="32"/>
  <c r="B140" i="32"/>
  <c r="B139" i="32"/>
  <c r="B138" i="32"/>
  <c r="B137" i="32"/>
  <c r="B136" i="32"/>
  <c r="B135" i="32"/>
  <c r="B134" i="32"/>
  <c r="B133" i="32"/>
  <c r="B132" i="32"/>
  <c r="B131" i="32"/>
  <c r="B130" i="32"/>
  <c r="B129" i="32"/>
  <c r="B128" i="32"/>
  <c r="B127" i="32"/>
  <c r="B126" i="32"/>
  <c r="B125" i="32"/>
  <c r="B124" i="32"/>
  <c r="B123" i="32"/>
  <c r="B122" i="32"/>
  <c r="B121" i="32"/>
  <c r="B120" i="32"/>
  <c r="B119" i="32"/>
  <c r="B118" i="32"/>
  <c r="B117" i="32"/>
  <c r="B116" i="32"/>
  <c r="B115" i="32"/>
  <c r="B114" i="32"/>
  <c r="B113" i="32"/>
  <c r="B112" i="32"/>
  <c r="B111" i="32"/>
  <c r="B110" i="32"/>
  <c r="B109" i="32"/>
  <c r="B108" i="32"/>
  <c r="B107" i="32"/>
  <c r="B106" i="32"/>
  <c r="B105" i="32"/>
  <c r="B104" i="32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A2" i="32"/>
  <c r="A3" i="32" s="1"/>
  <c r="A4" i="32" s="1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B1" i="32"/>
  <c r="C1" i="32" s="1"/>
  <c r="D1" i="32" s="1"/>
  <c r="E1" i="32" s="1"/>
  <c r="F1" i="32" s="1"/>
  <c r="G1" i="32" s="1"/>
  <c r="H1" i="32" s="1"/>
  <c r="I1" i="32" s="1"/>
  <c r="J1" i="32" s="1"/>
  <c r="K1" i="32" s="1"/>
  <c r="L1" i="32" s="1"/>
  <c r="M1" i="32" s="1"/>
  <c r="N1" i="32" s="1"/>
  <c r="O1" i="32" s="1"/>
  <c r="P1" i="32" s="1"/>
  <c r="Q1" i="32" s="1"/>
  <c r="R1" i="32" s="1"/>
  <c r="S1" i="32" s="1"/>
  <c r="T1" i="32" s="1"/>
  <c r="U1" i="32" s="1"/>
  <c r="V1" i="32" s="1"/>
  <c r="W1" i="32" s="1"/>
  <c r="X1" i="32" s="1"/>
  <c r="Y1" i="32" s="1"/>
  <c r="Z1" i="32" s="1"/>
  <c r="AA1" i="32" s="1"/>
  <c r="AB1" i="32" s="1"/>
  <c r="AC1" i="32" s="1"/>
  <c r="AD1" i="32" s="1"/>
  <c r="AE1" i="32" s="1"/>
  <c r="AF1" i="32" s="1"/>
  <c r="AG1" i="32" s="1"/>
  <c r="AH1" i="32" s="1"/>
  <c r="AI1" i="32" s="1"/>
  <c r="AJ1" i="32" s="1"/>
  <c r="AK1" i="32" s="1"/>
  <c r="AL1" i="32" s="1"/>
  <c r="AM1" i="32" s="1"/>
  <c r="AN1" i="32" s="1"/>
  <c r="AO1" i="32" s="1"/>
  <c r="AP1" i="32" s="1"/>
  <c r="AQ1" i="32" s="1"/>
  <c r="AR1" i="32" s="1"/>
  <c r="AS1" i="32" s="1"/>
  <c r="AT1" i="32" s="1"/>
  <c r="AU1" i="32" s="1"/>
  <c r="AV1" i="32" s="1"/>
  <c r="AW1" i="32" s="1"/>
  <c r="AX1" i="32" s="1"/>
  <c r="AY1" i="32" s="1"/>
  <c r="AZ1" i="32" s="1"/>
  <c r="BA1" i="32" s="1"/>
  <c r="BB1" i="32" s="1"/>
  <c r="BC1" i="32" s="1"/>
  <c r="BD1" i="32" s="1"/>
  <c r="BE1" i="32" s="1"/>
  <c r="BF1" i="32" s="1"/>
  <c r="BG1" i="32" s="1"/>
  <c r="BH1" i="32" s="1"/>
  <c r="BI1" i="32" s="1"/>
  <c r="BJ1" i="32" s="1"/>
  <c r="BK1" i="32" s="1"/>
  <c r="BL1" i="32" s="1"/>
  <c r="BM1" i="32" s="1"/>
  <c r="BN1" i="32" s="1"/>
  <c r="BO1" i="32" s="1"/>
  <c r="BP1" i="32" s="1"/>
  <c r="BQ1" i="32" s="1"/>
  <c r="BR1" i="32" s="1"/>
  <c r="BS1" i="32" s="1"/>
  <c r="BT1" i="32" s="1"/>
  <c r="BU1" i="32" s="1"/>
  <c r="BV1" i="32" s="1"/>
  <c r="BW1" i="32" s="1"/>
  <c r="BX1" i="32" s="1"/>
  <c r="BY1" i="32" s="1"/>
  <c r="BZ1" i="32" s="1"/>
  <c r="CA1" i="32" s="1"/>
  <c r="CB1" i="32" s="1"/>
  <c r="CC1" i="32" s="1"/>
  <c r="CD1" i="32" s="1"/>
  <c r="CE1" i="32" s="1"/>
  <c r="CF1" i="32" s="1"/>
  <c r="CG1" i="32" s="1"/>
  <c r="CH1" i="32" s="1"/>
  <c r="CI1" i="32" s="1"/>
  <c r="CJ1" i="32" s="1"/>
  <c r="CK1" i="32" s="1"/>
  <c r="CL1" i="32" s="1"/>
  <c r="CM1" i="32" s="1"/>
  <c r="CN1" i="32" s="1"/>
  <c r="CO1" i="32" s="1"/>
  <c r="CP1" i="32" s="1"/>
  <c r="CQ1" i="32" s="1"/>
  <c r="CR1" i="32" s="1"/>
  <c r="CS1" i="32" s="1"/>
  <c r="CT1" i="32" s="1"/>
  <c r="CU1" i="32" s="1"/>
  <c r="CV1" i="32" s="1"/>
  <c r="CW1" i="32" s="1"/>
  <c r="CX1" i="32" s="1"/>
  <c r="CY1" i="32" s="1"/>
  <c r="CZ1" i="32" s="1"/>
  <c r="DA1" i="32" s="1"/>
  <c r="DB1" i="32" s="1"/>
  <c r="DC1" i="32" s="1"/>
  <c r="DD1" i="32" s="1"/>
  <c r="DE1" i="32" s="1"/>
  <c r="DF1" i="32" s="1"/>
  <c r="DG1" i="32" s="1"/>
  <c r="DH1" i="32" s="1"/>
  <c r="DI1" i="32" s="1"/>
  <c r="DJ1" i="32" s="1"/>
  <c r="DK1" i="32" s="1"/>
  <c r="DL1" i="32" s="1"/>
  <c r="DM1" i="32" s="1"/>
  <c r="DN1" i="32" s="1"/>
  <c r="DO1" i="32" s="1"/>
  <c r="DP1" i="32" s="1"/>
  <c r="DQ1" i="32" s="1"/>
  <c r="DR1" i="32" s="1"/>
  <c r="DS1" i="32" s="1"/>
  <c r="DT1" i="32" s="1"/>
  <c r="DU1" i="32" s="1"/>
  <c r="DV1" i="32" s="1"/>
  <c r="DW1" i="32" s="1"/>
  <c r="DX1" i="32" s="1"/>
  <c r="DY1" i="32" s="1"/>
  <c r="DZ1" i="32" s="1"/>
  <c r="EA1" i="32" s="1"/>
  <c r="EB1" i="32" s="1"/>
  <c r="EC1" i="32" s="1"/>
  <c r="ED1" i="32" s="1"/>
  <c r="EE1" i="32" s="1"/>
  <c r="EF1" i="32" s="1"/>
  <c r="EG1" i="32" s="1"/>
  <c r="EH1" i="32" s="1"/>
  <c r="EI1" i="32" s="1"/>
  <c r="EJ1" i="32" s="1"/>
  <c r="EK1" i="32" s="1"/>
  <c r="EL1" i="32" s="1"/>
  <c r="EM1" i="32" s="1"/>
  <c r="EN1" i="32" s="1"/>
  <c r="EO1" i="32" s="1"/>
  <c r="EP1" i="32" s="1"/>
  <c r="EQ1" i="32" s="1"/>
  <c r="ER1" i="32" s="1"/>
  <c r="ES1" i="32" s="1"/>
  <c r="ET1" i="32" s="1"/>
  <c r="EU1" i="32" s="1"/>
  <c r="EV1" i="32" s="1"/>
  <c r="EW1" i="32" s="1"/>
  <c r="EX1" i="32" s="1"/>
  <c r="EY1" i="32" s="1"/>
  <c r="EZ1" i="32" s="1"/>
  <c r="FA1" i="32" s="1"/>
  <c r="FB1" i="32" s="1"/>
  <c r="FC1" i="32" s="1"/>
  <c r="FD1" i="32" s="1"/>
  <c r="FE1" i="32" s="1"/>
  <c r="FF1" i="32" s="1"/>
  <c r="FG1" i="32" s="1"/>
  <c r="FH1" i="32" s="1"/>
  <c r="FI1" i="32" s="1"/>
  <c r="FJ1" i="32" s="1"/>
  <c r="FK1" i="32" s="1"/>
  <c r="FL1" i="32" s="1"/>
  <c r="FM1" i="32" s="1"/>
  <c r="FN1" i="32" s="1"/>
  <c r="FO1" i="32" s="1"/>
  <c r="FP1" i="32" s="1"/>
  <c r="FQ1" i="32" s="1"/>
  <c r="FR1" i="32" s="1"/>
  <c r="FS1" i="32" s="1"/>
  <c r="FT1" i="32" s="1"/>
  <c r="FU1" i="32" s="1"/>
  <c r="FV1" i="32" s="1"/>
  <c r="FW1" i="32" s="1"/>
  <c r="FX1" i="32" s="1"/>
  <c r="FY1" i="32" s="1"/>
  <c r="FZ1" i="32" s="1"/>
  <c r="GA1" i="32" s="1"/>
  <c r="GB1" i="32" s="1"/>
  <c r="GC1" i="32" s="1"/>
  <c r="GD1" i="32" s="1"/>
  <c r="GE1" i="32" s="1"/>
  <c r="GF1" i="32" s="1"/>
  <c r="GG1" i="32" s="1"/>
  <c r="GH1" i="32" s="1"/>
  <c r="GI1" i="32" s="1"/>
  <c r="GJ1" i="32" s="1"/>
  <c r="GK1" i="32" s="1"/>
  <c r="GL1" i="32" s="1"/>
  <c r="GM1" i="32" s="1"/>
  <c r="GN1" i="32" s="1"/>
  <c r="GO1" i="32" s="1"/>
  <c r="GP1" i="32" s="1"/>
  <c r="GQ1" i="32" s="1"/>
  <c r="GR1" i="32" s="1"/>
  <c r="GS1" i="32" s="1"/>
  <c r="GT1" i="32" s="1"/>
  <c r="GU1" i="32" s="1"/>
  <c r="GV1" i="32" s="1"/>
  <c r="GW1" i="32" s="1"/>
  <c r="GX1" i="32" s="1"/>
  <c r="GY1" i="32" s="1"/>
  <c r="GZ1" i="32" s="1"/>
  <c r="HA1" i="32" s="1"/>
  <c r="HB1" i="32" s="1"/>
  <c r="HC1" i="32" s="1"/>
  <c r="HD1" i="32" s="1"/>
  <c r="HE1" i="32" s="1"/>
  <c r="HF1" i="32" s="1"/>
  <c r="HG1" i="32" s="1"/>
  <c r="HH1" i="32" s="1"/>
  <c r="HI1" i="32" s="1"/>
  <c r="HJ1" i="32" s="1"/>
  <c r="HK1" i="32" s="1"/>
  <c r="HL1" i="32" s="1"/>
  <c r="HM1" i="32" s="1"/>
  <c r="HN1" i="32" s="1"/>
  <c r="HO1" i="32" s="1"/>
  <c r="HP1" i="32" s="1"/>
  <c r="HQ1" i="32" s="1"/>
  <c r="HR1" i="32" s="1"/>
  <c r="HS1" i="32" s="1"/>
  <c r="HT1" i="32" s="1"/>
  <c r="HU1" i="32" s="1"/>
  <c r="HV1" i="32" s="1"/>
  <c r="HW1" i="32" s="1"/>
  <c r="HX1" i="32" s="1"/>
  <c r="HY1" i="32" s="1"/>
  <c r="HZ1" i="32" s="1"/>
  <c r="IA1" i="32" s="1"/>
  <c r="IB1" i="32" s="1"/>
  <c r="IC1" i="32" s="1"/>
  <c r="ID1" i="32" s="1"/>
  <c r="IE1" i="32" s="1"/>
  <c r="IF1" i="32" s="1"/>
  <c r="IG1" i="32" s="1"/>
  <c r="IH1" i="32" s="1"/>
  <c r="II1" i="32" s="1"/>
  <c r="IJ1" i="32" s="1"/>
  <c r="IK1" i="32" s="1"/>
  <c r="IL1" i="32" s="1"/>
  <c r="IM1" i="32" s="1"/>
  <c r="IN1" i="32" s="1"/>
  <c r="IO1" i="32" s="1"/>
  <c r="IP1" i="32" s="1"/>
  <c r="IQ1" i="32" s="1"/>
  <c r="IR1" i="32" s="1"/>
  <c r="IS1" i="32" s="1"/>
  <c r="IT1" i="32" s="1"/>
  <c r="IU1" i="32" s="1"/>
  <c r="IV1" i="32" s="1"/>
  <c r="E12" i="10" l="1"/>
  <c r="D12" i="10"/>
  <c r="C12" i="10"/>
  <c r="A1" i="10"/>
  <c r="B100" i="19" l="1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159" i="30"/>
  <c r="B158" i="30"/>
  <c r="B157" i="30"/>
  <c r="B156" i="30"/>
  <c r="B155" i="30"/>
  <c r="B154" i="30"/>
  <c r="B153" i="30"/>
  <c r="B152" i="30"/>
  <c r="B151" i="30"/>
  <c r="B150" i="30"/>
  <c r="B149" i="30"/>
  <c r="B148" i="30"/>
  <c r="B147" i="30"/>
  <c r="B146" i="30"/>
  <c r="B145" i="30"/>
  <c r="B144" i="30"/>
  <c r="B143" i="30"/>
  <c r="B142" i="30"/>
  <c r="B141" i="30"/>
  <c r="B140" i="30"/>
  <c r="B139" i="30"/>
  <c r="B138" i="30"/>
  <c r="B137" i="30"/>
  <c r="B136" i="30"/>
  <c r="B135" i="30"/>
  <c r="B134" i="30"/>
  <c r="B133" i="30"/>
  <c r="B132" i="30"/>
  <c r="B131" i="30"/>
  <c r="B130" i="30"/>
  <c r="B129" i="30"/>
  <c r="B128" i="30"/>
  <c r="B127" i="30"/>
  <c r="B126" i="30"/>
  <c r="B125" i="30"/>
  <c r="B124" i="30"/>
  <c r="B123" i="30"/>
  <c r="B122" i="30"/>
  <c r="B121" i="30"/>
  <c r="B120" i="30"/>
  <c r="B119" i="30"/>
  <c r="B118" i="30"/>
  <c r="B117" i="30"/>
  <c r="B116" i="30"/>
  <c r="B115" i="30"/>
  <c r="B114" i="30"/>
  <c r="B113" i="30"/>
  <c r="B112" i="30"/>
  <c r="B111" i="30"/>
  <c r="B110" i="30"/>
  <c r="B109" i="30"/>
  <c r="B108" i="30"/>
  <c r="B107" i="30"/>
  <c r="B106" i="30"/>
  <c r="B105" i="30"/>
  <c r="B104" i="30"/>
  <c r="B103" i="30"/>
  <c r="B102" i="30"/>
  <c r="B101" i="30"/>
  <c r="B100" i="30"/>
  <c r="B99" i="30"/>
  <c r="B98" i="30"/>
  <c r="B97" i="30"/>
  <c r="B96" i="30"/>
  <c r="B95" i="30"/>
  <c r="B94" i="30"/>
  <c r="B93" i="30"/>
  <c r="B92" i="30"/>
  <c r="B91" i="30"/>
  <c r="B90" i="30"/>
  <c r="B89" i="30"/>
  <c r="B88" i="30"/>
  <c r="B87" i="30"/>
  <c r="B86" i="30"/>
  <c r="B85" i="30"/>
  <c r="B84" i="30"/>
  <c r="B83" i="30"/>
  <c r="B82" i="30"/>
  <c r="B81" i="30"/>
  <c r="B80" i="30"/>
  <c r="B79" i="30"/>
  <c r="B78" i="30"/>
  <c r="B77" i="30"/>
  <c r="B76" i="30"/>
  <c r="B75" i="30"/>
  <c r="B74" i="30"/>
  <c r="B73" i="30"/>
  <c r="B72" i="30"/>
  <c r="B71" i="30"/>
  <c r="B70" i="30"/>
  <c r="B69" i="30"/>
  <c r="B68" i="30"/>
  <c r="B67" i="30"/>
  <c r="B66" i="30"/>
  <c r="B65" i="30"/>
  <c r="B64" i="30"/>
  <c r="B63" i="30"/>
  <c r="B62" i="30"/>
  <c r="B61" i="30"/>
  <c r="B60" i="30"/>
  <c r="B59" i="30"/>
  <c r="B58" i="30"/>
  <c r="B57" i="30"/>
  <c r="B56" i="30"/>
  <c r="B55" i="30"/>
  <c r="B54" i="30"/>
  <c r="B53" i="30"/>
  <c r="B52" i="30"/>
  <c r="B51" i="30"/>
  <c r="B50" i="30"/>
  <c r="B49" i="30"/>
  <c r="B48" i="30"/>
  <c r="B47" i="30"/>
  <c r="B46" i="30"/>
  <c r="B45" i="30"/>
  <c r="B44" i="30"/>
  <c r="B43" i="30"/>
  <c r="B42" i="30"/>
  <c r="B41" i="30"/>
  <c r="B40" i="30"/>
  <c r="B39" i="30"/>
  <c r="B38" i="30"/>
  <c r="B37" i="30"/>
  <c r="B36" i="30"/>
  <c r="B35" i="30"/>
  <c r="B34" i="30"/>
  <c r="B33" i="30"/>
  <c r="B32" i="30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B9" i="30"/>
  <c r="B8" i="30"/>
  <c r="B7" i="30"/>
  <c r="B6" i="30"/>
  <c r="B5" i="30"/>
  <c r="B4" i="30"/>
  <c r="B3" i="30"/>
  <c r="A2" i="30"/>
  <c r="B1" i="30"/>
  <c r="C1" i="30" s="1"/>
  <c r="D1" i="30" s="1"/>
  <c r="E1" i="30" s="1"/>
  <c r="F1" i="30" s="1"/>
  <c r="G1" i="30" s="1"/>
  <c r="H1" i="30" s="1"/>
  <c r="I1" i="30" s="1"/>
  <c r="J1" i="30" s="1"/>
  <c r="K1" i="30" s="1"/>
  <c r="L1" i="30" s="1"/>
  <c r="M1" i="30" s="1"/>
  <c r="N1" i="30" s="1"/>
  <c r="O1" i="30" s="1"/>
  <c r="P1" i="30" s="1"/>
  <c r="Q1" i="30" s="1"/>
  <c r="R1" i="30" s="1"/>
  <c r="S1" i="30" s="1"/>
  <c r="T1" i="30" s="1"/>
  <c r="U1" i="30" s="1"/>
  <c r="V1" i="30" s="1"/>
  <c r="W1" i="30" s="1"/>
  <c r="X1" i="30" s="1"/>
  <c r="Y1" i="30" s="1"/>
  <c r="Z1" i="30" s="1"/>
  <c r="AA1" i="30" s="1"/>
  <c r="AB1" i="30" s="1"/>
  <c r="AC1" i="30" s="1"/>
  <c r="AD1" i="30" s="1"/>
  <c r="AE1" i="30" s="1"/>
  <c r="AF1" i="30" s="1"/>
  <c r="AG1" i="30" s="1"/>
  <c r="AH1" i="30" s="1"/>
  <c r="AI1" i="30" s="1"/>
  <c r="AJ1" i="30" s="1"/>
  <c r="AK1" i="30" s="1"/>
  <c r="AL1" i="30" s="1"/>
  <c r="AM1" i="30" s="1"/>
  <c r="AN1" i="30" s="1"/>
  <c r="AO1" i="30" s="1"/>
  <c r="AP1" i="30" s="1"/>
  <c r="AQ1" i="30" s="1"/>
  <c r="AR1" i="30" s="1"/>
  <c r="AS1" i="30" s="1"/>
  <c r="AT1" i="30" s="1"/>
  <c r="AU1" i="30" s="1"/>
  <c r="AV1" i="30" s="1"/>
  <c r="AW1" i="30" s="1"/>
  <c r="AX1" i="30" s="1"/>
  <c r="AY1" i="30" s="1"/>
  <c r="AZ1" i="30" s="1"/>
  <c r="BA1" i="30" s="1"/>
  <c r="BB1" i="30" s="1"/>
  <c r="BC1" i="30" s="1"/>
  <c r="BD1" i="30" s="1"/>
  <c r="BE1" i="30" s="1"/>
  <c r="BF1" i="30" s="1"/>
  <c r="BG1" i="30" s="1"/>
  <c r="BH1" i="30" s="1"/>
  <c r="BI1" i="30" s="1"/>
  <c r="BJ1" i="30" s="1"/>
  <c r="BK1" i="30" s="1"/>
  <c r="BL1" i="30" s="1"/>
  <c r="BM1" i="30" s="1"/>
  <c r="BN1" i="30" s="1"/>
  <c r="BO1" i="30" s="1"/>
  <c r="BP1" i="30" s="1"/>
  <c r="BQ1" i="30" s="1"/>
  <c r="BR1" i="30" s="1"/>
  <c r="BS1" i="30" s="1"/>
  <c r="BT1" i="30" s="1"/>
  <c r="BU1" i="30" s="1"/>
  <c r="BV1" i="30" s="1"/>
  <c r="BW1" i="30" s="1"/>
  <c r="BX1" i="30" s="1"/>
  <c r="BY1" i="30" s="1"/>
  <c r="BZ1" i="30" s="1"/>
  <c r="CA1" i="30" s="1"/>
  <c r="CB1" i="30" s="1"/>
  <c r="CC1" i="30" s="1"/>
  <c r="CD1" i="30" s="1"/>
  <c r="CE1" i="30" s="1"/>
  <c r="CF1" i="30" s="1"/>
  <c r="CG1" i="30" s="1"/>
  <c r="CH1" i="30" s="1"/>
  <c r="CI1" i="30" s="1"/>
  <c r="CJ1" i="30" s="1"/>
  <c r="CK1" i="30" s="1"/>
  <c r="CL1" i="30" s="1"/>
  <c r="CM1" i="30" s="1"/>
  <c r="CN1" i="30" s="1"/>
  <c r="CO1" i="30" s="1"/>
  <c r="CP1" i="30" s="1"/>
  <c r="CQ1" i="30" s="1"/>
  <c r="CR1" i="30" s="1"/>
  <c r="CS1" i="30" s="1"/>
  <c r="CT1" i="30" s="1"/>
  <c r="CU1" i="30" s="1"/>
  <c r="CV1" i="30" s="1"/>
  <c r="CW1" i="30" s="1"/>
  <c r="CX1" i="30" s="1"/>
  <c r="CY1" i="30" s="1"/>
  <c r="CZ1" i="30" s="1"/>
  <c r="DA1" i="30" s="1"/>
  <c r="DB1" i="30" s="1"/>
  <c r="DC1" i="30" s="1"/>
  <c r="DD1" i="30" s="1"/>
  <c r="DE1" i="30" s="1"/>
  <c r="DF1" i="30" s="1"/>
  <c r="DG1" i="30" s="1"/>
  <c r="DH1" i="30" s="1"/>
  <c r="DI1" i="30" s="1"/>
  <c r="DJ1" i="30" s="1"/>
  <c r="DK1" i="30" s="1"/>
  <c r="DL1" i="30" s="1"/>
  <c r="DM1" i="30" s="1"/>
  <c r="DN1" i="30" s="1"/>
  <c r="DO1" i="30" s="1"/>
  <c r="DP1" i="30" s="1"/>
  <c r="DQ1" i="30" s="1"/>
  <c r="DR1" i="30" s="1"/>
  <c r="DS1" i="30" s="1"/>
  <c r="DT1" i="30" s="1"/>
  <c r="DU1" i="30" s="1"/>
  <c r="DV1" i="30" s="1"/>
  <c r="DW1" i="30" s="1"/>
  <c r="DX1" i="30" s="1"/>
  <c r="DY1" i="30" s="1"/>
  <c r="DZ1" i="30" s="1"/>
  <c r="EA1" i="30" s="1"/>
  <c r="EB1" i="30" s="1"/>
  <c r="EC1" i="30" s="1"/>
  <c r="ED1" i="30" s="1"/>
  <c r="EE1" i="30" s="1"/>
  <c r="EF1" i="30" s="1"/>
  <c r="EG1" i="30" s="1"/>
  <c r="EH1" i="30" s="1"/>
  <c r="EI1" i="30" s="1"/>
  <c r="EJ1" i="30" s="1"/>
  <c r="EK1" i="30" s="1"/>
  <c r="EL1" i="30" s="1"/>
  <c r="EM1" i="30" s="1"/>
  <c r="EN1" i="30" s="1"/>
  <c r="EO1" i="30" s="1"/>
  <c r="EP1" i="30" s="1"/>
  <c r="EQ1" i="30" s="1"/>
  <c r="ER1" i="30" s="1"/>
  <c r="ES1" i="30" s="1"/>
  <c r="ET1" i="30" s="1"/>
  <c r="EU1" i="30" s="1"/>
  <c r="EV1" i="30" s="1"/>
  <c r="EW1" i="30" s="1"/>
  <c r="EX1" i="30" s="1"/>
  <c r="EY1" i="30" s="1"/>
  <c r="EZ1" i="30" s="1"/>
  <c r="FA1" i="30" s="1"/>
  <c r="FB1" i="30" s="1"/>
  <c r="FC1" i="30" s="1"/>
  <c r="FD1" i="30" s="1"/>
  <c r="FE1" i="30" s="1"/>
  <c r="FF1" i="30" s="1"/>
  <c r="FG1" i="30" s="1"/>
  <c r="FH1" i="30" s="1"/>
  <c r="FI1" i="30" s="1"/>
  <c r="FJ1" i="30" s="1"/>
  <c r="FK1" i="30" s="1"/>
  <c r="FL1" i="30" s="1"/>
  <c r="FM1" i="30" s="1"/>
  <c r="FN1" i="30" s="1"/>
  <c r="FO1" i="30" s="1"/>
  <c r="FP1" i="30" s="1"/>
  <c r="FQ1" i="30" s="1"/>
  <c r="FR1" i="30" s="1"/>
  <c r="FS1" i="30" s="1"/>
  <c r="FT1" i="30" s="1"/>
  <c r="FU1" i="30" s="1"/>
  <c r="FV1" i="30" s="1"/>
  <c r="FW1" i="30" s="1"/>
  <c r="FX1" i="30" s="1"/>
  <c r="FY1" i="30" s="1"/>
  <c r="FZ1" i="30" s="1"/>
  <c r="GA1" i="30" s="1"/>
  <c r="GB1" i="30" s="1"/>
  <c r="GC1" i="30" s="1"/>
  <c r="GD1" i="30" s="1"/>
  <c r="GE1" i="30" s="1"/>
  <c r="GF1" i="30" s="1"/>
  <c r="GG1" i="30" s="1"/>
  <c r="GH1" i="30" s="1"/>
  <c r="GI1" i="30" s="1"/>
  <c r="GJ1" i="30" s="1"/>
  <c r="GK1" i="30" s="1"/>
  <c r="GL1" i="30" s="1"/>
  <c r="GM1" i="30" s="1"/>
  <c r="GN1" i="30" s="1"/>
  <c r="GO1" i="30" s="1"/>
  <c r="GP1" i="30" s="1"/>
  <c r="GQ1" i="30" s="1"/>
  <c r="GR1" i="30" s="1"/>
  <c r="GS1" i="30" s="1"/>
  <c r="GT1" i="30" s="1"/>
  <c r="GU1" i="30" s="1"/>
  <c r="GV1" i="30" s="1"/>
  <c r="GW1" i="30" s="1"/>
  <c r="GX1" i="30" s="1"/>
  <c r="GY1" i="30" s="1"/>
  <c r="GZ1" i="30" s="1"/>
  <c r="HA1" i="30" s="1"/>
  <c r="HB1" i="30" s="1"/>
  <c r="HC1" i="30" s="1"/>
  <c r="HD1" i="30" s="1"/>
  <c r="HE1" i="30" s="1"/>
  <c r="HF1" i="30" s="1"/>
  <c r="HG1" i="30" s="1"/>
  <c r="HH1" i="30" s="1"/>
  <c r="HI1" i="30" s="1"/>
  <c r="HJ1" i="30" s="1"/>
  <c r="HK1" i="30" s="1"/>
  <c r="HL1" i="30" s="1"/>
  <c r="HM1" i="30" s="1"/>
  <c r="HN1" i="30" s="1"/>
  <c r="HO1" i="30" s="1"/>
  <c r="HP1" i="30" s="1"/>
  <c r="HQ1" i="30" s="1"/>
  <c r="HR1" i="30" s="1"/>
  <c r="HS1" i="30" s="1"/>
  <c r="HT1" i="30" s="1"/>
  <c r="HU1" i="30" s="1"/>
  <c r="HV1" i="30" s="1"/>
  <c r="HW1" i="30" s="1"/>
  <c r="HX1" i="30" s="1"/>
  <c r="HY1" i="30" s="1"/>
  <c r="HZ1" i="30" s="1"/>
  <c r="IA1" i="30" s="1"/>
  <c r="IB1" i="30" s="1"/>
  <c r="IC1" i="30" s="1"/>
  <c r="ID1" i="30" s="1"/>
  <c r="IE1" i="30" s="1"/>
  <c r="IF1" i="30" s="1"/>
  <c r="IG1" i="30" s="1"/>
  <c r="IH1" i="30" s="1"/>
  <c r="II1" i="30" s="1"/>
  <c r="IJ1" i="30" s="1"/>
  <c r="IK1" i="30" s="1"/>
  <c r="IL1" i="30" s="1"/>
  <c r="IM1" i="30" s="1"/>
  <c r="IN1" i="30" s="1"/>
  <c r="IO1" i="30" s="1"/>
  <c r="IP1" i="30" s="1"/>
  <c r="IQ1" i="30" s="1"/>
  <c r="IR1" i="30" s="1"/>
  <c r="IS1" i="30" s="1"/>
  <c r="IT1" i="30" s="1"/>
  <c r="IU1" i="30" s="1"/>
  <c r="IV1" i="30" s="1"/>
  <c r="L2" i="19"/>
  <c r="M2" i="19" s="1"/>
  <c r="N2" i="19" s="1"/>
  <c r="O2" i="19" s="1"/>
  <c r="P2" i="19" s="1"/>
  <c r="Q2" i="19" s="1"/>
  <c r="R2" i="19" s="1"/>
  <c r="S2" i="19" s="1"/>
  <c r="T2" i="19" s="1"/>
  <c r="K2" i="19"/>
  <c r="A2" i="19"/>
  <c r="B1" i="19"/>
  <c r="C1" i="19" s="1"/>
  <c r="D1" i="19" s="1"/>
  <c r="E1" i="19" s="1"/>
  <c r="F1" i="19" s="1"/>
  <c r="G1" i="19" s="1"/>
  <c r="H1" i="19" s="1"/>
  <c r="I1" i="19" s="1"/>
  <c r="J1" i="19" s="1"/>
  <c r="K1" i="19" s="1"/>
  <c r="L1" i="19" s="1"/>
  <c r="M1" i="19" s="1"/>
  <c r="N1" i="19" s="1"/>
  <c r="O1" i="19" s="1"/>
  <c r="P1" i="19" s="1"/>
  <c r="Q1" i="19" s="1"/>
  <c r="R1" i="19" s="1"/>
  <c r="S1" i="19" s="1"/>
  <c r="T1" i="19" s="1"/>
  <c r="U1" i="19" s="1"/>
  <c r="A3" i="19"/>
  <c r="A4" i="19" s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2" i="16"/>
  <c r="B1" i="16"/>
  <c r="C1" i="16" s="1"/>
  <c r="D1" i="16" s="1"/>
  <c r="E1" i="16" s="1"/>
  <c r="F1" i="16" s="1"/>
  <c r="G1" i="16" s="1"/>
  <c r="H1" i="16" s="1"/>
  <c r="I1" i="16" s="1"/>
  <c r="J1" i="16" s="1"/>
  <c r="K1" i="16" s="1"/>
  <c r="L1" i="16" s="1"/>
  <c r="M1" i="16" s="1"/>
  <c r="N1" i="16" s="1"/>
  <c r="O1" i="16" s="1"/>
  <c r="P1" i="16" s="1"/>
  <c r="Q1" i="16" s="1"/>
  <c r="R1" i="16" s="1"/>
  <c r="S1" i="16" s="1"/>
  <c r="T1" i="16" s="1"/>
  <c r="U1" i="16" s="1"/>
  <c r="A3" i="16"/>
  <c r="A4" i="16" s="1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B1" i="17"/>
  <c r="C1" i="17" s="1"/>
  <c r="D1" i="17" s="1"/>
  <c r="E1" i="17" s="1"/>
  <c r="F1" i="17" s="1"/>
  <c r="G1" i="17" s="1"/>
  <c r="H1" i="17" s="1"/>
  <c r="I1" i="17" s="1"/>
  <c r="J1" i="17" s="1"/>
  <c r="K1" i="17" s="1"/>
  <c r="L1" i="17" s="1"/>
  <c r="M1" i="17" s="1"/>
  <c r="N1" i="17" s="1"/>
  <c r="O1" i="17" s="1"/>
  <c r="P1" i="17" s="1"/>
  <c r="Q1" i="17" s="1"/>
  <c r="R1" i="17" s="1"/>
  <c r="S1" i="17" s="1"/>
  <c r="T1" i="17" s="1"/>
  <c r="U1" i="17" s="1"/>
  <c r="A2" i="17"/>
  <c r="A3" i="17" s="1"/>
  <c r="A4" i="17" s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G5" i="6"/>
  <c r="C1" i="27"/>
  <c r="C1" i="6"/>
  <c r="G5" i="5"/>
  <c r="B5" i="5" s="1"/>
  <c r="C1" i="5"/>
  <c r="E1" i="4"/>
  <c r="B1" i="1"/>
  <c r="D6" i="29"/>
  <c r="B6" i="29"/>
  <c r="C4" i="29"/>
  <c r="E4" i="29" s="1"/>
  <c r="D10" i="29" l="1"/>
  <c r="E10" i="29" s="1"/>
  <c r="G10" i="29" s="1"/>
  <c r="O6" i="4"/>
  <c r="A3" i="30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G4" i="29"/>
  <c r="A3" i="36"/>
  <c r="B3" i="1"/>
  <c r="C3" i="5"/>
  <c r="C3" i="6"/>
  <c r="A5" i="5"/>
  <c r="J5" i="5"/>
  <c r="I5" i="5" s="1"/>
  <c r="Q7" i="4"/>
  <c r="G5" i="27"/>
  <c r="C6" i="29"/>
  <c r="E6" i="29" s="1"/>
  <c r="B1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A2" i="15"/>
  <c r="A3" i="15"/>
  <c r="A7" i="4"/>
  <c r="B4" i="19"/>
  <c r="B5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30" i="19"/>
  <c r="B31" i="19"/>
  <c r="B32" i="19"/>
  <c r="B33" i="19"/>
  <c r="B34" i="19"/>
  <c r="B35" i="19"/>
  <c r="B36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49" i="19"/>
  <c r="B50" i="19"/>
  <c r="B4" i="17"/>
  <c r="B5" i="17"/>
  <c r="B6" i="17"/>
  <c r="B7" i="17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C1" i="15"/>
  <c r="D1" i="15"/>
  <c r="E1" i="15" s="1"/>
  <c r="F1" i="15" s="1"/>
  <c r="G1" i="15" s="1"/>
  <c r="H1" i="15" s="1"/>
  <c r="I1" i="15" s="1"/>
  <c r="J1" i="15" s="1"/>
  <c r="K1" i="15" s="1"/>
  <c r="L1" i="15" s="1"/>
  <c r="B1" i="13"/>
  <c r="B3" i="13"/>
  <c r="B4" i="13"/>
  <c r="B5" i="13"/>
  <c r="B6" i="13"/>
  <c r="B7" i="13"/>
  <c r="B8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A2" i="13"/>
  <c r="A3" i="13"/>
  <c r="C1" i="13"/>
  <c r="D1" i="13" s="1"/>
  <c r="E1" i="13" s="1"/>
  <c r="F1" i="13" s="1"/>
  <c r="G1" i="13" s="1"/>
  <c r="H1" i="13" s="1"/>
  <c r="I1" i="13" s="1"/>
  <c r="J1" i="13" s="1"/>
  <c r="K1" i="13" s="1"/>
  <c r="L1" i="13" s="1"/>
  <c r="M1" i="13" s="1"/>
  <c r="N1" i="13" s="1"/>
  <c r="O1" i="13" s="1"/>
  <c r="P1" i="13" s="1"/>
  <c r="Q1" i="13" s="1"/>
  <c r="R1" i="13" s="1"/>
  <c r="S1" i="13" s="1"/>
  <c r="T1" i="13" s="1"/>
  <c r="U1" i="13" s="1"/>
  <c r="V1" i="13" s="1"/>
  <c r="W1" i="13" s="1"/>
  <c r="X1" i="13" s="1"/>
  <c r="Y1" i="13" s="1"/>
  <c r="Z1" i="13" s="1"/>
  <c r="AA1" i="13" s="1"/>
  <c r="AB1" i="13" s="1"/>
  <c r="AC1" i="13" s="1"/>
  <c r="AD1" i="13" s="1"/>
  <c r="AE1" i="13" s="1"/>
  <c r="AF1" i="13" s="1"/>
  <c r="AG1" i="13" s="1"/>
  <c r="AH1" i="13" s="1"/>
  <c r="AI1" i="13" s="1"/>
  <c r="AJ1" i="13" s="1"/>
  <c r="AK1" i="13" s="1"/>
  <c r="AL1" i="13" s="1"/>
  <c r="AM1" i="13" s="1"/>
  <c r="AN1" i="13" s="1"/>
  <c r="AO1" i="13" s="1"/>
  <c r="AP1" i="13" s="1"/>
  <c r="AQ1" i="13" s="1"/>
  <c r="AR1" i="13" s="1"/>
  <c r="AS1" i="13" s="1"/>
  <c r="AT1" i="13" s="1"/>
  <c r="AU1" i="13" s="1"/>
  <c r="AV1" i="13" s="1"/>
  <c r="AW1" i="13" s="1"/>
  <c r="AX1" i="13" s="1"/>
  <c r="AY1" i="13" s="1"/>
  <c r="AZ1" i="13" s="1"/>
  <c r="BA1" i="13" s="1"/>
  <c r="BB1" i="13" s="1"/>
  <c r="BC1" i="13" s="1"/>
  <c r="BD1" i="13" s="1"/>
  <c r="BE1" i="13" s="1"/>
  <c r="BF1" i="13" s="1"/>
  <c r="BG1" i="13" s="1"/>
  <c r="BH1" i="13" s="1"/>
  <c r="BI1" i="13" s="1"/>
  <c r="BJ1" i="13" s="1"/>
  <c r="BK1" i="13" s="1"/>
  <c r="BL1" i="13" s="1"/>
  <c r="BM1" i="13" s="1"/>
  <c r="BN1" i="13" s="1"/>
  <c r="BO1" i="13" s="1"/>
  <c r="BP1" i="13" s="1"/>
  <c r="BQ1" i="13" s="1"/>
  <c r="BR1" i="13" s="1"/>
  <c r="BS1" i="13" s="1"/>
  <c r="BT1" i="13" s="1"/>
  <c r="BU1" i="13" s="1"/>
  <c r="BV1" i="13" s="1"/>
  <c r="BW1" i="13" s="1"/>
  <c r="BX1" i="13" s="1"/>
  <c r="BY1" i="13" s="1"/>
  <c r="BZ1" i="13" s="1"/>
  <c r="CA1" i="13" s="1"/>
  <c r="CB1" i="13" s="1"/>
  <c r="CC1" i="13" s="1"/>
  <c r="CD1" i="13" s="1"/>
  <c r="CE1" i="13" s="1"/>
  <c r="CF1" i="13" s="1"/>
  <c r="CG1" i="13" s="1"/>
  <c r="CH1" i="13" s="1"/>
  <c r="CI1" i="13" s="1"/>
  <c r="CJ1" i="13" s="1"/>
  <c r="CK1" i="13" s="1"/>
  <c r="CL1" i="13" s="1"/>
  <c r="CM1" i="13" s="1"/>
  <c r="CN1" i="13" s="1"/>
  <c r="CO1" i="13" s="1"/>
  <c r="CP1" i="13" s="1"/>
  <c r="CQ1" i="13" s="1"/>
  <c r="CR1" i="13" s="1"/>
  <c r="CS1" i="13" s="1"/>
  <c r="CT1" i="13" s="1"/>
  <c r="CU1" i="13" s="1"/>
  <c r="CV1" i="13" s="1"/>
  <c r="CW1" i="13" s="1"/>
  <c r="CX1" i="13" s="1"/>
  <c r="CY1" i="13" s="1"/>
  <c r="CZ1" i="13" s="1"/>
  <c r="DA1" i="13" s="1"/>
  <c r="DB1" i="13" s="1"/>
  <c r="DC1" i="13" s="1"/>
  <c r="DD1" i="13" s="1"/>
  <c r="DE1" i="13" s="1"/>
  <c r="DF1" i="13" s="1"/>
  <c r="DG1" i="13" s="1"/>
  <c r="DH1" i="13" s="1"/>
  <c r="DI1" i="13" s="1"/>
  <c r="DJ1" i="13" s="1"/>
  <c r="DK1" i="13" s="1"/>
  <c r="DL1" i="13" s="1"/>
  <c r="DM1" i="13" s="1"/>
  <c r="DN1" i="13" s="1"/>
  <c r="DO1" i="13" s="1"/>
  <c r="DP1" i="13" s="1"/>
  <c r="DQ1" i="13" s="1"/>
  <c r="DR1" i="13" s="1"/>
  <c r="DS1" i="13" s="1"/>
  <c r="DT1" i="13" s="1"/>
  <c r="DU1" i="13" s="1"/>
  <c r="DV1" i="13" s="1"/>
  <c r="DW1" i="13" s="1"/>
  <c r="DX1" i="13" s="1"/>
  <c r="DY1" i="13" s="1"/>
  <c r="DZ1" i="13" s="1"/>
  <c r="EA1" i="13" s="1"/>
  <c r="EB1" i="13" s="1"/>
  <c r="EC1" i="13" s="1"/>
  <c r="ED1" i="13" s="1"/>
  <c r="EE1" i="13" s="1"/>
  <c r="EF1" i="13" s="1"/>
  <c r="EG1" i="13" s="1"/>
  <c r="EH1" i="13" s="1"/>
  <c r="EI1" i="13" s="1"/>
  <c r="EJ1" i="13" s="1"/>
  <c r="EK1" i="13" s="1"/>
  <c r="EL1" i="13" s="1"/>
  <c r="EM1" i="13" s="1"/>
  <c r="EN1" i="13" s="1"/>
  <c r="EO1" i="13" s="1"/>
  <c r="EP1" i="13" s="1"/>
  <c r="EQ1" i="13" s="1"/>
  <c r="ER1" i="13" s="1"/>
  <c r="ES1" i="13" s="1"/>
  <c r="ET1" i="13" s="1"/>
  <c r="EU1" i="13" s="1"/>
  <c r="EV1" i="13" s="1"/>
  <c r="EW1" i="13" s="1"/>
  <c r="EX1" i="13" s="1"/>
  <c r="EY1" i="13" s="1"/>
  <c r="EZ1" i="13" s="1"/>
  <c r="FA1" i="13" s="1"/>
  <c r="FB1" i="13" s="1"/>
  <c r="FC1" i="13" s="1"/>
  <c r="FD1" i="13" s="1"/>
  <c r="FE1" i="13" s="1"/>
  <c r="FF1" i="13" s="1"/>
  <c r="FG1" i="13" s="1"/>
  <c r="FH1" i="13" s="1"/>
  <c r="FI1" i="13" s="1"/>
  <c r="FJ1" i="13" s="1"/>
  <c r="FK1" i="13" s="1"/>
  <c r="FL1" i="13" s="1"/>
  <c r="FM1" i="13" s="1"/>
  <c r="FN1" i="13" s="1"/>
  <c r="FO1" i="13" s="1"/>
  <c r="FP1" i="13" s="1"/>
  <c r="FQ1" i="13" s="1"/>
  <c r="FR1" i="13" s="1"/>
  <c r="FS1" i="13" s="1"/>
  <c r="FT1" i="13" s="1"/>
  <c r="FU1" i="13" s="1"/>
  <c r="FV1" i="13" s="1"/>
  <c r="FW1" i="13" s="1"/>
  <c r="FX1" i="13" s="1"/>
  <c r="FY1" i="13" s="1"/>
  <c r="FZ1" i="13" s="1"/>
  <c r="GA1" i="13" s="1"/>
  <c r="GB1" i="13" s="1"/>
  <c r="GC1" i="13" s="1"/>
  <c r="GD1" i="13" s="1"/>
  <c r="GE1" i="13" s="1"/>
  <c r="GF1" i="13" s="1"/>
  <c r="GG1" i="13" s="1"/>
  <c r="GH1" i="13" s="1"/>
  <c r="GI1" i="13" s="1"/>
  <c r="GJ1" i="13" s="1"/>
  <c r="GK1" i="13" s="1"/>
  <c r="GL1" i="13" s="1"/>
  <c r="GM1" i="13" s="1"/>
  <c r="GN1" i="13" s="1"/>
  <c r="GO1" i="13" s="1"/>
  <c r="GP1" i="13" s="1"/>
  <c r="GQ1" i="13" s="1"/>
  <c r="GR1" i="13" s="1"/>
  <c r="GS1" i="13" s="1"/>
  <c r="GT1" i="13" s="1"/>
  <c r="GU1" i="13" s="1"/>
  <c r="GV1" i="13" s="1"/>
  <c r="GW1" i="13" s="1"/>
  <c r="GX1" i="13" s="1"/>
  <c r="GY1" i="13" s="1"/>
  <c r="GZ1" i="13" s="1"/>
  <c r="HA1" i="13" s="1"/>
  <c r="HB1" i="13" s="1"/>
  <c r="HC1" i="13" s="1"/>
  <c r="HD1" i="13" s="1"/>
  <c r="HE1" i="13" s="1"/>
  <c r="HF1" i="13" s="1"/>
  <c r="HG1" i="13" s="1"/>
  <c r="HH1" i="13" s="1"/>
  <c r="HI1" i="13" s="1"/>
  <c r="HJ1" i="13" s="1"/>
  <c r="HK1" i="13" s="1"/>
  <c r="HL1" i="13" s="1"/>
  <c r="HM1" i="13" s="1"/>
  <c r="HN1" i="13" s="1"/>
  <c r="HO1" i="13" s="1"/>
  <c r="HP1" i="13" s="1"/>
  <c r="HQ1" i="13" s="1"/>
  <c r="HR1" i="13" s="1"/>
  <c r="HS1" i="13" s="1"/>
  <c r="HT1" i="13" s="1"/>
  <c r="HU1" i="13" s="1"/>
  <c r="HV1" i="13" s="1"/>
  <c r="HW1" i="13" s="1"/>
  <c r="HX1" i="13" s="1"/>
  <c r="HY1" i="13" s="1"/>
  <c r="HZ1" i="13" s="1"/>
  <c r="IA1" i="13" s="1"/>
  <c r="IB1" i="13" s="1"/>
  <c r="IC1" i="13" s="1"/>
  <c r="ID1" i="13" s="1"/>
  <c r="IE1" i="13" s="1"/>
  <c r="IF1" i="13" s="1"/>
  <c r="IG1" i="13" s="1"/>
  <c r="IH1" i="13" s="1"/>
  <c r="II1" i="13" s="1"/>
  <c r="IJ1" i="13" s="1"/>
  <c r="IK1" i="13" s="1"/>
  <c r="IL1" i="13" s="1"/>
  <c r="IM1" i="13" s="1"/>
  <c r="IN1" i="13" s="1"/>
  <c r="IO1" i="13" s="1"/>
  <c r="IP1" i="13" s="1"/>
  <c r="IQ1" i="13" s="1"/>
  <c r="IR1" i="13" s="1"/>
  <c r="IS1" i="13" s="1"/>
  <c r="IT1" i="13" s="1"/>
  <c r="IU1" i="13" s="1"/>
  <c r="IV1" i="13" s="1"/>
  <c r="G34" i="5"/>
  <c r="M1" i="15"/>
  <c r="N1" i="15"/>
  <c r="O1" i="15" s="1"/>
  <c r="P1" i="15"/>
  <c r="Q1" i="15" s="1"/>
  <c r="R1" i="15" s="1"/>
  <c r="S1" i="15" s="1"/>
  <c r="T1" i="15" s="1"/>
  <c r="U1" i="15" s="1"/>
  <c r="V1" i="15" s="1"/>
  <c r="W1" i="15" s="1"/>
  <c r="X1" i="15" s="1"/>
  <c r="Y1" i="15" s="1"/>
  <c r="Z1" i="15" s="1"/>
  <c r="AA1" i="15" s="1"/>
  <c r="AB1" i="15" s="1"/>
  <c r="AC1" i="15" s="1"/>
  <c r="AD1" i="15" s="1"/>
  <c r="AE1" i="15" s="1"/>
  <c r="AF1" i="15" s="1"/>
  <c r="AG1" i="15" s="1"/>
  <c r="AH1" i="15" s="1"/>
  <c r="AI1" i="15" s="1"/>
  <c r="AJ1" i="15" s="1"/>
  <c r="AK1" i="15" s="1"/>
  <c r="AL1" i="15" s="1"/>
  <c r="AM1" i="15" s="1"/>
  <c r="AN1" i="15" s="1"/>
  <c r="AO1" i="15" s="1"/>
  <c r="AP1" i="15" s="1"/>
  <c r="AQ1" i="15" s="1"/>
  <c r="AR1" i="15" s="1"/>
  <c r="AS1" i="15" s="1"/>
  <c r="AT1" i="15" s="1"/>
  <c r="AU1" i="15" s="1"/>
  <c r="AV1" i="15" s="1"/>
  <c r="AW1" i="15" s="1"/>
  <c r="AX1" i="15" s="1"/>
  <c r="AY1" i="15" s="1"/>
  <c r="AZ1" i="15" s="1"/>
  <c r="BA1" i="15" s="1"/>
  <c r="BB1" i="15" s="1"/>
  <c r="BC1" i="15" s="1"/>
  <c r="BD1" i="15" s="1"/>
  <c r="BE1" i="15" s="1"/>
  <c r="BF1" i="15" s="1"/>
  <c r="BG1" i="15" s="1"/>
  <c r="BH1" i="15" s="1"/>
  <c r="BI1" i="15" s="1"/>
  <c r="BJ1" i="15" s="1"/>
  <c r="BK1" i="15" s="1"/>
  <c r="BL1" i="15" s="1"/>
  <c r="BM1" i="15" s="1"/>
  <c r="BN1" i="15" s="1"/>
  <c r="BO1" i="15" s="1"/>
  <c r="BP1" i="15" s="1"/>
  <c r="BQ1" i="15" s="1"/>
  <c r="BR1" i="15" s="1"/>
  <c r="BS1" i="15" s="1"/>
  <c r="BT1" i="15" s="1"/>
  <c r="BU1" i="15" s="1"/>
  <c r="BV1" i="15" s="1"/>
  <c r="BW1" i="15" s="1"/>
  <c r="BX1" i="15" s="1"/>
  <c r="BY1" i="15" s="1"/>
  <c r="BZ1" i="15" s="1"/>
  <c r="CA1" i="15" s="1"/>
  <c r="CB1" i="15" s="1"/>
  <c r="CC1" i="15" s="1"/>
  <c r="CD1" i="15" s="1"/>
  <c r="CE1" i="15" s="1"/>
  <c r="CF1" i="15" s="1"/>
  <c r="CG1" i="15" s="1"/>
  <c r="CH1" i="15" s="1"/>
  <c r="CI1" i="15" s="1"/>
  <c r="CJ1" i="15" s="1"/>
  <c r="CK1" i="15" s="1"/>
  <c r="CL1" i="15" s="1"/>
  <c r="CM1" i="15" s="1"/>
  <c r="CN1" i="15" s="1"/>
  <c r="CO1" i="15" s="1"/>
  <c r="CP1" i="15" s="1"/>
  <c r="CQ1" i="15" s="1"/>
  <c r="CR1" i="15" s="1"/>
  <c r="CS1" i="15" s="1"/>
  <c r="CT1" i="15" s="1"/>
  <c r="CU1" i="15" s="1"/>
  <c r="CV1" i="15" s="1"/>
  <c r="CW1" i="15" s="1"/>
  <c r="CX1" i="15" s="1"/>
  <c r="CY1" i="15" s="1"/>
  <c r="CZ1" i="15" s="1"/>
  <c r="DA1" i="15" s="1"/>
  <c r="DB1" i="15" s="1"/>
  <c r="DC1" i="15" s="1"/>
  <c r="DD1" i="15" s="1"/>
  <c r="DE1" i="15" s="1"/>
  <c r="DF1" i="15" s="1"/>
  <c r="DG1" i="15" s="1"/>
  <c r="DH1" i="15" s="1"/>
  <c r="DI1" i="15" s="1"/>
  <c r="DJ1" i="15" s="1"/>
  <c r="DK1" i="15" s="1"/>
  <c r="DL1" i="15" s="1"/>
  <c r="DM1" i="15" s="1"/>
  <c r="DN1" i="15" s="1"/>
  <c r="DO1" i="15" s="1"/>
  <c r="DP1" i="15" s="1"/>
  <c r="DQ1" i="15" s="1"/>
  <c r="DR1" i="15" s="1"/>
  <c r="DS1" i="15" s="1"/>
  <c r="DT1" i="15" s="1"/>
  <c r="DU1" i="15" s="1"/>
  <c r="DV1" i="15" s="1"/>
  <c r="DW1" i="15" s="1"/>
  <c r="DX1" i="15" s="1"/>
  <c r="DY1" i="15" s="1"/>
  <c r="DZ1" i="15" s="1"/>
  <c r="EA1" i="15" s="1"/>
  <c r="EB1" i="15" s="1"/>
  <c r="EC1" i="15" s="1"/>
  <c r="ED1" i="15" s="1"/>
  <c r="EE1" i="15" s="1"/>
  <c r="EF1" i="15" s="1"/>
  <c r="EG1" i="15" s="1"/>
  <c r="EH1" i="15" s="1"/>
  <c r="EI1" i="15" s="1"/>
  <c r="EJ1" i="15" s="1"/>
  <c r="EK1" i="15" s="1"/>
  <c r="EL1" i="15" s="1"/>
  <c r="EM1" i="15" s="1"/>
  <c r="EN1" i="15" s="1"/>
  <c r="EO1" i="15" s="1"/>
  <c r="EP1" i="15" s="1"/>
  <c r="EQ1" i="15" s="1"/>
  <c r="ER1" i="15" s="1"/>
  <c r="ES1" i="15" s="1"/>
  <c r="ET1" i="15" s="1"/>
  <c r="EU1" i="15" s="1"/>
  <c r="EV1" i="15" s="1"/>
  <c r="EW1" i="15" s="1"/>
  <c r="EX1" i="15" s="1"/>
  <c r="EY1" i="15" s="1"/>
  <c r="EZ1" i="15" s="1"/>
  <c r="FA1" i="15" s="1"/>
  <c r="FB1" i="15" s="1"/>
  <c r="FC1" i="15" s="1"/>
  <c r="FD1" i="15" s="1"/>
  <c r="FE1" i="15" s="1"/>
  <c r="FF1" i="15" s="1"/>
  <c r="FG1" i="15" s="1"/>
  <c r="FH1" i="15" s="1"/>
  <c r="FI1" i="15" s="1"/>
  <c r="FJ1" i="15" s="1"/>
  <c r="FK1" i="15" s="1"/>
  <c r="FL1" i="15" s="1"/>
  <c r="FM1" i="15" s="1"/>
  <c r="FN1" i="15" s="1"/>
  <c r="FO1" i="15" s="1"/>
  <c r="FP1" i="15" s="1"/>
  <c r="FQ1" i="15" s="1"/>
  <c r="FR1" i="15" s="1"/>
  <c r="FS1" i="15" s="1"/>
  <c r="FT1" i="15" s="1"/>
  <c r="FU1" i="15" s="1"/>
  <c r="FV1" i="15" s="1"/>
  <c r="FW1" i="15" s="1"/>
  <c r="FX1" i="15" s="1"/>
  <c r="FY1" i="15" s="1"/>
  <c r="FZ1" i="15" s="1"/>
  <c r="GA1" i="15" s="1"/>
  <c r="GB1" i="15" s="1"/>
  <c r="GC1" i="15" s="1"/>
  <c r="GD1" i="15" s="1"/>
  <c r="GE1" i="15" s="1"/>
  <c r="GF1" i="15" s="1"/>
  <c r="GG1" i="15" s="1"/>
  <c r="GH1" i="15" s="1"/>
  <c r="GI1" i="15" s="1"/>
  <c r="GJ1" i="15" s="1"/>
  <c r="GK1" i="15" s="1"/>
  <c r="GL1" i="15" s="1"/>
  <c r="GM1" i="15" s="1"/>
  <c r="GN1" i="15" s="1"/>
  <c r="GO1" i="15" s="1"/>
  <c r="GP1" i="15" s="1"/>
  <c r="GQ1" i="15" s="1"/>
  <c r="GR1" i="15" s="1"/>
  <c r="GS1" i="15" s="1"/>
  <c r="GT1" i="15" s="1"/>
  <c r="GU1" i="15" s="1"/>
  <c r="GV1" i="15" s="1"/>
  <c r="GW1" i="15" s="1"/>
  <c r="GX1" i="15" s="1"/>
  <c r="GY1" i="15" s="1"/>
  <c r="GZ1" i="15" s="1"/>
  <c r="HA1" i="15" s="1"/>
  <c r="HB1" i="15" s="1"/>
  <c r="HC1" i="15" s="1"/>
  <c r="HD1" i="15" s="1"/>
  <c r="HE1" i="15" s="1"/>
  <c r="HF1" i="15" s="1"/>
  <c r="HG1" i="15" s="1"/>
  <c r="HH1" i="15" s="1"/>
  <c r="HI1" i="15" s="1"/>
  <c r="HJ1" i="15" s="1"/>
  <c r="HK1" i="15" s="1"/>
  <c r="HL1" i="15" s="1"/>
  <c r="HM1" i="15" s="1"/>
  <c r="HN1" i="15" s="1"/>
  <c r="HO1" i="15" s="1"/>
  <c r="HP1" i="15" s="1"/>
  <c r="HQ1" i="15" s="1"/>
  <c r="HR1" i="15" s="1"/>
  <c r="HS1" i="15" s="1"/>
  <c r="HT1" i="15" s="1"/>
  <c r="HU1" i="15" s="1"/>
  <c r="HV1" i="15" s="1"/>
  <c r="HW1" i="15" s="1"/>
  <c r="HX1" i="15" s="1"/>
  <c r="HY1" i="15" s="1"/>
  <c r="HZ1" i="15" s="1"/>
  <c r="IA1" i="15" s="1"/>
  <c r="IB1" i="15" s="1"/>
  <c r="IC1" i="15" s="1"/>
  <c r="ID1" i="15" s="1"/>
  <c r="IE1" i="15" s="1"/>
  <c r="IF1" i="15" s="1"/>
  <c r="IG1" i="15" s="1"/>
  <c r="IH1" i="15" s="1"/>
  <c r="II1" i="15" s="1"/>
  <c r="IJ1" i="15" s="1"/>
  <c r="IK1" i="15" s="1"/>
  <c r="IL1" i="15" s="1"/>
  <c r="IM1" i="15" s="1"/>
  <c r="IN1" i="15" s="1"/>
  <c r="IO1" i="15" s="1"/>
  <c r="IP1" i="15" s="1"/>
  <c r="IQ1" i="15" s="1"/>
  <c r="IR1" i="15" s="1"/>
  <c r="IS1" i="15" s="1"/>
  <c r="IT1" i="15" s="1"/>
  <c r="IU1" i="15" s="1"/>
  <c r="IV1" i="15" s="1"/>
  <c r="A4" i="15"/>
  <c r="A5" i="15"/>
  <c r="A6" i="15"/>
  <c r="A7" i="15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A93" i="15" s="1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A110" i="15" s="1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A127" i="15" s="1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A144" i="15" s="1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A161" i="15" s="1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A178" i="15" s="1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A195" i="15" s="1"/>
  <c r="A196" i="15" s="1"/>
  <c r="A197" i="15" s="1"/>
  <c r="A198" i="15" s="1"/>
  <c r="A199" i="15" s="1"/>
  <c r="A200" i="15" s="1"/>
  <c r="A201" i="15" s="1"/>
  <c r="H44" i="1"/>
  <c r="H29" i="1"/>
  <c r="F29" i="1"/>
  <c r="G8" i="10"/>
  <c r="F44" i="1"/>
  <c r="K28" i="4"/>
  <c r="F19" i="1" l="1"/>
  <c r="C12" i="4"/>
  <c r="A4" i="13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C11" i="4"/>
  <c r="A12" i="4"/>
  <c r="Q12" i="4"/>
  <c r="S12" i="4"/>
  <c r="B5" i="36"/>
  <c r="H5" i="1"/>
  <c r="C3" i="27"/>
  <c r="G6" i="29"/>
  <c r="E5" i="36"/>
  <c r="F5" i="1"/>
  <c r="A22" i="27"/>
  <c r="A9" i="27"/>
  <c r="S18" i="4"/>
  <c r="A20" i="27"/>
  <c r="C9" i="4"/>
  <c r="C26" i="4"/>
  <c r="E6" i="6"/>
  <c r="E3" i="4"/>
  <c r="A24" i="5"/>
  <c r="G24" i="5" s="1"/>
  <c r="A23" i="5"/>
  <c r="G23" i="5" s="1"/>
  <c r="I24" i="5"/>
  <c r="I23" i="5"/>
  <c r="H9" i="1"/>
  <c r="H51" i="1"/>
  <c r="H49" i="1" s="1"/>
  <c r="C27" i="4"/>
  <c r="A20" i="6"/>
  <c r="A10" i="6"/>
  <c r="A21" i="6"/>
  <c r="G6" i="6"/>
  <c r="C25" i="4"/>
  <c r="C10" i="4"/>
  <c r="F6" i="6"/>
  <c r="D6" i="6"/>
  <c r="C17" i="4"/>
  <c r="C18" i="4"/>
  <c r="I7" i="5"/>
  <c r="I9" i="5"/>
  <c r="A19" i="27"/>
  <c r="F6" i="27"/>
  <c r="S10" i="4"/>
  <c r="S27" i="4"/>
  <c r="S11" i="4"/>
  <c r="I14" i="5"/>
  <c r="A14" i="5"/>
  <c r="G14" i="5" s="1"/>
  <c r="F8" i="1"/>
  <c r="G17" i="10" s="1"/>
  <c r="F9" i="1"/>
  <c r="A19" i="6"/>
  <c r="G6" i="27"/>
  <c r="A15" i="27"/>
  <c r="A15" i="6"/>
  <c r="A38" i="5"/>
  <c r="I18" i="5"/>
  <c r="I13" i="5"/>
  <c r="A17" i="5"/>
  <c r="G17" i="5" s="1"/>
  <c r="A12" i="5"/>
  <c r="G12" i="5" s="1"/>
  <c r="A18" i="5"/>
  <c r="G18" i="5" s="1"/>
  <c r="I17" i="5"/>
  <c r="I12" i="5"/>
  <c r="A16" i="5"/>
  <c r="A11" i="5"/>
  <c r="G11" i="5" s="1"/>
  <c r="I15" i="5"/>
  <c r="A13" i="5"/>
  <c r="G13" i="5" s="1"/>
  <c r="I16" i="5"/>
  <c r="I11" i="5"/>
  <c r="A15" i="5"/>
  <c r="G15" i="5" s="1"/>
  <c r="A37" i="5"/>
  <c r="A9" i="6"/>
  <c r="S13" i="4"/>
  <c r="S25" i="4"/>
  <c r="E6" i="27"/>
  <c r="S9" i="4"/>
  <c r="S17" i="4"/>
  <c r="S26" i="4"/>
  <c r="D6" i="27"/>
  <c r="F39" i="1"/>
  <c r="H37" i="1"/>
  <c r="A12" i="6"/>
  <c r="A10" i="4"/>
  <c r="F20" i="1"/>
  <c r="F21" i="1"/>
  <c r="F38" i="1"/>
  <c r="A18" i="27"/>
  <c r="Q26" i="4"/>
  <c r="Q13" i="4"/>
  <c r="A12" i="27"/>
  <c r="A17" i="27"/>
  <c r="H18" i="1"/>
  <c r="H11" i="1"/>
  <c r="H8" i="1"/>
  <c r="Q9" i="4"/>
  <c r="Q17" i="4"/>
  <c r="Q27" i="4"/>
  <c r="A10" i="27"/>
  <c r="A13" i="27"/>
  <c r="A21" i="27"/>
  <c r="Q10" i="4"/>
  <c r="Q18" i="4"/>
  <c r="A14" i="27"/>
  <c r="Q11" i="4"/>
  <c r="Q25" i="4"/>
  <c r="A11" i="27"/>
  <c r="A16" i="27"/>
  <c r="A22" i="6"/>
  <c r="A27" i="4"/>
  <c r="A17" i="4"/>
  <c r="A16" i="6"/>
  <c r="A13" i="6"/>
  <c r="A11" i="4"/>
  <c r="A18" i="4"/>
  <c r="A14" i="6"/>
  <c r="A18" i="6"/>
  <c r="A11" i="6"/>
  <c r="A26" i="4"/>
  <c r="A25" i="4"/>
  <c r="A9" i="4"/>
  <c r="A7" i="5"/>
  <c r="A17" i="6"/>
  <c r="H12" i="1"/>
  <c r="H21" i="1"/>
  <c r="H38" i="1"/>
  <c r="H17" i="1"/>
  <c r="H22" i="1"/>
  <c r="H35" i="1"/>
  <c r="H39" i="1"/>
  <c r="H20" i="1"/>
  <c r="H13" i="1"/>
  <c r="H36" i="1"/>
  <c r="F18" i="1"/>
  <c r="F11" i="1"/>
  <c r="H63" i="1" s="1"/>
  <c r="F36" i="1"/>
  <c r="F13" i="1"/>
  <c r="F35" i="1"/>
  <c r="F22" i="1"/>
  <c r="F37" i="1"/>
  <c r="F17" i="1"/>
  <c r="F12" i="1"/>
  <c r="J12" i="1" s="1"/>
  <c r="G25" i="5"/>
  <c r="J19" i="1" l="1"/>
  <c r="D22" i="27"/>
  <c r="F22" i="27"/>
  <c r="E22" i="27"/>
  <c r="F23" i="1"/>
  <c r="J37" i="1"/>
  <c r="F9" i="27"/>
  <c r="M12" i="4"/>
  <c r="K12" i="4"/>
  <c r="O12" i="4"/>
  <c r="J20" i="1"/>
  <c r="O10" i="4"/>
  <c r="E9" i="27"/>
  <c r="E21" i="6"/>
  <c r="E9" i="6"/>
  <c r="E19" i="6"/>
  <c r="E10" i="6"/>
  <c r="E20" i="6"/>
  <c r="J22" i="1"/>
  <c r="J11" i="1"/>
  <c r="J38" i="1"/>
  <c r="J13" i="1"/>
  <c r="J21" i="1"/>
  <c r="O18" i="4"/>
  <c r="D22" i="6"/>
  <c r="D9" i="27"/>
  <c r="D20" i="27"/>
  <c r="E20" i="27"/>
  <c r="F20" i="27"/>
  <c r="F17" i="27"/>
  <c r="O11" i="4"/>
  <c r="F15" i="27"/>
  <c r="M10" i="4"/>
  <c r="D19" i="27"/>
  <c r="E19" i="27"/>
  <c r="H40" i="1"/>
  <c r="H46" i="1" s="1"/>
  <c r="H10" i="1"/>
  <c r="H23" i="1"/>
  <c r="F10" i="1"/>
  <c r="F40" i="1"/>
  <c r="F46" i="1" s="1"/>
  <c r="F20" i="6"/>
  <c r="D20" i="6"/>
  <c r="F21" i="6"/>
  <c r="F10" i="6"/>
  <c r="F12" i="6"/>
  <c r="F15" i="6"/>
  <c r="D21" i="6"/>
  <c r="D10" i="6"/>
  <c r="F19" i="27"/>
  <c r="D19" i="6"/>
  <c r="G12" i="10"/>
  <c r="F19" i="6"/>
  <c r="G37" i="5"/>
  <c r="I37" i="5" s="1"/>
  <c r="O9" i="4"/>
  <c r="D15" i="27"/>
  <c r="E15" i="27"/>
  <c r="O17" i="4"/>
  <c r="E15" i="6"/>
  <c r="D15" i="6"/>
  <c r="D12" i="27"/>
  <c r="O13" i="4"/>
  <c r="D18" i="27"/>
  <c r="F9" i="6"/>
  <c r="E12" i="6"/>
  <c r="F18" i="27"/>
  <c r="E18" i="27"/>
  <c r="G16" i="5"/>
  <c r="G7" i="5"/>
  <c r="D9" i="6"/>
  <c r="E17" i="27"/>
  <c r="D12" i="6"/>
  <c r="E12" i="27"/>
  <c r="F12" i="27"/>
  <c r="D17" i="27"/>
  <c r="F11" i="27"/>
  <c r="E11" i="27"/>
  <c r="D11" i="27"/>
  <c r="F10" i="27"/>
  <c r="E10" i="27"/>
  <c r="D10" i="27"/>
  <c r="F16" i="27"/>
  <c r="E16" i="27"/>
  <c r="D16" i="27"/>
  <c r="E13" i="27"/>
  <c r="D13" i="27"/>
  <c r="F13" i="27"/>
  <c r="F14" i="27"/>
  <c r="E14" i="27"/>
  <c r="D14" i="27"/>
  <c r="F21" i="27"/>
  <c r="E21" i="27"/>
  <c r="D21" i="27"/>
  <c r="D16" i="6"/>
  <c r="E16" i="6"/>
  <c r="F16" i="6"/>
  <c r="F18" i="6"/>
  <c r="E18" i="6"/>
  <c r="D18" i="6"/>
  <c r="D11" i="6"/>
  <c r="E11" i="6"/>
  <c r="F11" i="6"/>
  <c r="F14" i="6"/>
  <c r="E14" i="6"/>
  <c r="D14" i="6"/>
  <c r="F17" i="6"/>
  <c r="D17" i="6"/>
  <c r="E17" i="6"/>
  <c r="D13" i="6"/>
  <c r="F13" i="6"/>
  <c r="E13" i="6"/>
  <c r="F22" i="6"/>
  <c r="E22" i="6"/>
  <c r="K18" i="4"/>
  <c r="M18" i="4"/>
  <c r="M11" i="4"/>
  <c r="K17" i="4"/>
  <c r="M17" i="4"/>
  <c r="M9" i="4"/>
  <c r="G27" i="5"/>
  <c r="I12" i="4" l="1"/>
  <c r="I9" i="4"/>
  <c r="H62" i="1"/>
  <c r="H67" i="1" s="1"/>
  <c r="G17" i="27"/>
  <c r="G21" i="6"/>
  <c r="I10" i="4"/>
  <c r="O19" i="4"/>
  <c r="J23" i="1"/>
  <c r="J10" i="1"/>
  <c r="J14" i="1" s="1"/>
  <c r="J40" i="1"/>
  <c r="J46" i="1" s="1"/>
  <c r="I11" i="4"/>
  <c r="I17" i="4"/>
  <c r="H14" i="1"/>
  <c r="H31" i="1" s="1"/>
  <c r="I18" i="4"/>
  <c r="K19" i="4"/>
  <c r="F24" i="27"/>
  <c r="E24" i="27"/>
  <c r="D24" i="6"/>
  <c r="D26" i="6" s="1"/>
  <c r="D24" i="27"/>
  <c r="G22" i="27"/>
  <c r="G9" i="27"/>
  <c r="G20" i="27"/>
  <c r="G10" i="6"/>
  <c r="F8" i="10"/>
  <c r="H8" i="10" s="1"/>
  <c r="F9" i="10"/>
  <c r="F7" i="10"/>
  <c r="G43" i="5"/>
  <c r="G19" i="27"/>
  <c r="G20" i="6"/>
  <c r="F14" i="1"/>
  <c r="F31" i="1" s="1"/>
  <c r="G12" i="6"/>
  <c r="G19" i="6"/>
  <c r="O14" i="4"/>
  <c r="G15" i="27"/>
  <c r="G15" i="6"/>
  <c r="G9" i="6"/>
  <c r="G18" i="27"/>
  <c r="G14" i="27"/>
  <c r="G11" i="27"/>
  <c r="G12" i="27"/>
  <c r="G21" i="27"/>
  <c r="G13" i="27"/>
  <c r="G16" i="27"/>
  <c r="K14" i="4"/>
  <c r="G18" i="6"/>
  <c r="G13" i="6"/>
  <c r="F24" i="6"/>
  <c r="F26" i="6" s="1"/>
  <c r="E24" i="6"/>
  <c r="E26" i="6" s="1"/>
  <c r="G17" i="6"/>
  <c r="G22" i="6"/>
  <c r="G10" i="27"/>
  <c r="G11" i="6"/>
  <c r="G14" i="6"/>
  <c r="G16" i="6"/>
  <c r="M14" i="4"/>
  <c r="M19" i="4"/>
  <c r="F26" i="27" l="1"/>
  <c r="F27" i="27"/>
  <c r="E27" i="27"/>
  <c r="D26" i="27"/>
  <c r="O21" i="4"/>
  <c r="K21" i="4"/>
  <c r="K30" i="4" s="1"/>
  <c r="K33" i="4" s="1"/>
  <c r="F50" i="1" s="1"/>
  <c r="J50" i="1" s="1"/>
  <c r="J31" i="1"/>
  <c r="O26" i="4"/>
  <c r="O27" i="4"/>
  <c r="H7" i="10"/>
  <c r="H12" i="10" s="1"/>
  <c r="G24" i="27"/>
  <c r="G26" i="27" s="1"/>
  <c r="O25" i="4"/>
  <c r="G9" i="5"/>
  <c r="G20" i="5" s="1"/>
  <c r="G36" i="5" s="1"/>
  <c r="F10" i="10"/>
  <c r="F12" i="10" s="1"/>
  <c r="M25" i="4"/>
  <c r="M26" i="4"/>
  <c r="M27" i="4"/>
  <c r="B12" i="10"/>
  <c r="I14" i="4"/>
  <c r="M21" i="4"/>
  <c r="G24" i="6"/>
  <c r="G26" i="6" s="1"/>
  <c r="I19" i="4"/>
  <c r="D27" i="27" l="1"/>
  <c r="F27" i="6"/>
  <c r="I25" i="4"/>
  <c r="D27" i="6"/>
  <c r="I27" i="4"/>
  <c r="E27" i="6"/>
  <c r="O28" i="4"/>
  <c r="O30" i="4" s="1"/>
  <c r="O33" i="4" s="1"/>
  <c r="I26" i="4"/>
  <c r="G38" i="5"/>
  <c r="G44" i="5" s="1"/>
  <c r="B20" i="10"/>
  <c r="B21" i="10"/>
  <c r="B22" i="10"/>
  <c r="M28" i="4"/>
  <c r="I21" i="4"/>
  <c r="C7" i="36" s="1"/>
  <c r="I38" i="5" l="1"/>
  <c r="C9" i="36"/>
  <c r="C48" i="36" s="1"/>
  <c r="I28" i="4"/>
  <c r="M30" i="4"/>
  <c r="M36" i="4" s="1"/>
  <c r="I30" i="4" l="1"/>
  <c r="I33" i="4" s="1"/>
  <c r="F49" i="1" s="1"/>
  <c r="F51" i="1" s="1"/>
  <c r="D7" i="36"/>
  <c r="M33" i="4"/>
  <c r="M35" i="4" s="1"/>
  <c r="F53" i="1" l="1"/>
  <c r="F55" i="1" s="1"/>
  <c r="F56" i="1"/>
  <c r="D9" i="36"/>
  <c r="D48" i="36" s="1"/>
  <c r="H53" i="1" l="1"/>
  <c r="H55" i="1" s="1"/>
  <c r="J49" i="1" l="1"/>
  <c r="J51" i="1" s="1"/>
  <c r="J53" i="1" s="1"/>
  <c r="B9" i="36" l="1"/>
  <c r="B48" i="36" s="1"/>
  <c r="E7" i="36"/>
  <c r="E9" i="36" s="1"/>
  <c r="E48" i="36" s="1"/>
  <c r="E50" i="36" s="1"/>
  <c r="H56" i="1" l="1"/>
  <c r="B50" i="36"/>
</calcChain>
</file>

<file path=xl/sharedStrings.xml><?xml version="1.0" encoding="utf-8"?>
<sst xmlns="http://schemas.openxmlformats.org/spreadsheetml/2006/main" count="804" uniqueCount="362">
  <si>
    <t>Malecare, Inc</t>
  </si>
  <si>
    <t>Statements of Financial Position</t>
  </si>
  <si>
    <t>ASSETS</t>
  </si>
  <si>
    <t xml:space="preserve">      Total Bank Accounts</t>
  </si>
  <si>
    <t>Cash</t>
  </si>
  <si>
    <t xml:space="preserve">      Total Accounts Receivable</t>
  </si>
  <si>
    <t>Accounts receivable</t>
  </si>
  <si>
    <t xml:space="preserve">         1900 Undeposited Funds</t>
  </si>
  <si>
    <t>Undeposited funds</t>
  </si>
  <si>
    <t xml:space="preserve">         1300 Prepaid Expenses</t>
  </si>
  <si>
    <t>Prepaid expenses</t>
  </si>
  <si>
    <t xml:space="preserve">      1800 Security Deposits</t>
  </si>
  <si>
    <t>Security deposits</t>
  </si>
  <si>
    <t>Fixed Assets:</t>
  </si>
  <si>
    <t>Equipment</t>
  </si>
  <si>
    <t>Fixtures &amp; furniture</t>
  </si>
  <si>
    <t>Subtotal, Fixed Assets</t>
  </si>
  <si>
    <t>Other Assets:</t>
  </si>
  <si>
    <t>Assets restricted to investment in Building and Equipment</t>
  </si>
  <si>
    <t>Pledges receivable, non-current portion</t>
  </si>
  <si>
    <t>Subtotal, Other Assets</t>
  </si>
  <si>
    <t>Total Assets</t>
  </si>
  <si>
    <t>Current Liabilities:</t>
  </si>
  <si>
    <t xml:space="preserve">         Total Accounts Payable</t>
  </si>
  <si>
    <t>Accounts payable</t>
  </si>
  <si>
    <t xml:space="preserve">         Total Credit Cards</t>
  </si>
  <si>
    <t>Credit card payable</t>
  </si>
  <si>
    <t xml:space="preserve">            2400 Accrued Expenses</t>
  </si>
  <si>
    <t>Accrued expenses</t>
  </si>
  <si>
    <t xml:space="preserve">            2300 Payroll Liabilities</t>
  </si>
  <si>
    <t>Payroll liabilities</t>
  </si>
  <si>
    <t xml:space="preserve">            2510 Refundable Advances</t>
  </si>
  <si>
    <t>Refundable Advances</t>
  </si>
  <si>
    <t>Subtotal, Current Liabilities</t>
  </si>
  <si>
    <t>Non-current Liabilities</t>
  </si>
  <si>
    <t>Mortgage payable, non-current portion</t>
  </si>
  <si>
    <t>Subtotal, Non-current Liabilities</t>
  </si>
  <si>
    <t>Total Liabilities</t>
  </si>
  <si>
    <t>Net Assets:</t>
  </si>
  <si>
    <t xml:space="preserve">      3000 Unrestricted Net Assets</t>
  </si>
  <si>
    <t xml:space="preserve">   Total Equity</t>
  </si>
  <si>
    <t>Total Net Assets</t>
  </si>
  <si>
    <t>Total Liabilities and Net Assets</t>
  </si>
  <si>
    <t>Statements of Activities</t>
  </si>
  <si>
    <t>Total</t>
  </si>
  <si>
    <t>Support:</t>
  </si>
  <si>
    <t xml:space="preserve">   4000 Individual Contributions</t>
  </si>
  <si>
    <t>TOTAL</t>
  </si>
  <si>
    <t xml:space="preserve">   4100 Corporate Contributions</t>
  </si>
  <si>
    <t xml:space="preserve">   4200 Foundation Contributions</t>
  </si>
  <si>
    <t>Total Support</t>
  </si>
  <si>
    <t>Earned Revenue</t>
  </si>
  <si>
    <t xml:space="preserve">   4400 Earned Income</t>
  </si>
  <si>
    <t xml:space="preserve">   4900 Other Income</t>
  </si>
  <si>
    <t>Other Income</t>
  </si>
  <si>
    <t>Total Revenue</t>
  </si>
  <si>
    <t>Program services</t>
  </si>
  <si>
    <t>Total Expenditures</t>
  </si>
  <si>
    <t>Cancer Support</t>
  </si>
  <si>
    <t>Fundraising</t>
  </si>
  <si>
    <t>MG&amp;A</t>
  </si>
  <si>
    <t>Total Expenses</t>
  </si>
  <si>
    <t>Change in Net Assets</t>
  </si>
  <si>
    <t>Net Assets, beginning of year</t>
  </si>
  <si>
    <t>Check</t>
  </si>
  <si>
    <t>Cash flows from operating activities:</t>
  </si>
  <si>
    <t>Net Revenue</t>
  </si>
  <si>
    <t>Adjustments to reconcile the change in net assets to net cash from operating activities</t>
  </si>
  <si>
    <t>Depreciation</t>
  </si>
  <si>
    <t>Increase (decrease) in cash from operating assets and liabilities:</t>
  </si>
  <si>
    <t xml:space="preserve">         1100 Accounts Receivable (A/R)</t>
  </si>
  <si>
    <t>Security and advance deposits</t>
  </si>
  <si>
    <t xml:space="preserve">Credit card </t>
  </si>
  <si>
    <t>Net cash flow from operating activities</t>
  </si>
  <si>
    <t>Cash flows from investing activities:</t>
  </si>
  <si>
    <t>Additional leasehold improvement</t>
  </si>
  <si>
    <t>Net cash flow from investing activities</t>
  </si>
  <si>
    <t>Cash flows from financing activities:</t>
  </si>
  <si>
    <t>Payments on line of credit</t>
  </si>
  <si>
    <t>Cash received from mortgage payable</t>
  </si>
  <si>
    <t>Principal payments on mortgage payable</t>
  </si>
  <si>
    <t>Net cash flow from financing activities</t>
  </si>
  <si>
    <t>Net increase (decrease) in cash</t>
  </si>
  <si>
    <t>Cash, beginning of year</t>
  </si>
  <si>
    <t>Supplemental disclosure of cash flow information:</t>
  </si>
  <si>
    <t>Cash paid during the year for interest</t>
  </si>
  <si>
    <t>Statement of Functional Expenses</t>
  </si>
  <si>
    <t>Program Services</t>
  </si>
  <si>
    <t>Support Services</t>
  </si>
  <si>
    <t xml:space="preserve">   Total 6100 Occupancy</t>
  </si>
  <si>
    <t>Occupancy</t>
  </si>
  <si>
    <t xml:space="preserve">   Total 6200 Business Insurance</t>
  </si>
  <si>
    <t>Insurance</t>
  </si>
  <si>
    <t xml:space="preserve">   Total 6300 Consulting</t>
  </si>
  <si>
    <t>Consulting</t>
  </si>
  <si>
    <t xml:space="preserve">   Total 6400 Office Expenses</t>
  </si>
  <si>
    <t xml:space="preserve">   7100 Conferences</t>
  </si>
  <si>
    <t>Conferences</t>
  </si>
  <si>
    <t xml:space="preserve">   7300 Travel</t>
  </si>
  <si>
    <t>Travel</t>
  </si>
  <si>
    <t xml:space="preserve">   7400 Advertising &amp; Promotions</t>
  </si>
  <si>
    <t xml:space="preserve">   7500 Website &amp; IT Support</t>
  </si>
  <si>
    <t xml:space="preserve">   7600 Program Supplies &amp; Materials</t>
  </si>
  <si>
    <t>Formula</t>
  </si>
  <si>
    <t xml:space="preserve">   Current Assets</t>
  </si>
  <si>
    <t xml:space="preserve">      Bank Accounts</t>
  </si>
  <si>
    <t xml:space="preserve">         1010 Operating Checking</t>
  </si>
  <si>
    <t xml:space="preserve">         1020 Investment</t>
  </si>
  <si>
    <t xml:space="preserve">         1030 Paypal</t>
  </si>
  <si>
    <t xml:space="preserve">      Accounts Receivable</t>
  </si>
  <si>
    <t xml:space="preserve">   Total Current Assets</t>
  </si>
  <si>
    <t xml:space="preserve">   Other Assets</t>
  </si>
  <si>
    <t xml:space="preserve">   Total Other Assets</t>
  </si>
  <si>
    <t>TOTAL ASSETS</t>
  </si>
  <si>
    <t>LIABILITIES AND EQUITY</t>
  </si>
  <si>
    <t xml:space="preserve">   Liabilities</t>
  </si>
  <si>
    <t xml:space="preserve">   Total Liabilities</t>
  </si>
  <si>
    <t xml:space="preserve">   Equity</t>
  </si>
  <si>
    <t xml:space="preserve">      Net Revenue</t>
  </si>
  <si>
    <t>TOTAL LIABILITIES AND EQUITY</t>
  </si>
  <si>
    <t>Revenue</t>
  </si>
  <si>
    <t>Expenditures</t>
  </si>
  <si>
    <t xml:space="preserve">   6100 Occupancy</t>
  </si>
  <si>
    <t xml:space="preserve">      6110 Rent</t>
  </si>
  <si>
    <t xml:space="preserve">      6130 Telephone, Telecommunications</t>
  </si>
  <si>
    <t xml:space="preserve">   6200 Business Insurance</t>
  </si>
  <si>
    <t xml:space="preserve">      6220 D&amp;O</t>
  </si>
  <si>
    <t xml:space="preserve">   6300 Consulting</t>
  </si>
  <si>
    <t xml:space="preserve">   6400 Office Expenses</t>
  </si>
  <si>
    <t xml:space="preserve">      6410 Office Supplies</t>
  </si>
  <si>
    <t xml:space="preserve">      6440 Dues &amp; Subscriptions</t>
  </si>
  <si>
    <t xml:space="preserve">      6460 Bank Fees</t>
  </si>
  <si>
    <t>Net Operating Revenue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</si>
  <si>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</si>
  <si>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</si>
  <si>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</si>
  <si>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</si>
  <si>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</si>
  <si>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</si>
  <si>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</si>
  <si>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</si>
  <si>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</si>
  <si>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</si>
  <si>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</si>
  <si>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</si>
  <si>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Individuals</t>
  </si>
  <si>
    <t>Corporations</t>
  </si>
  <si>
    <t>Foundations</t>
  </si>
  <si>
    <t>Contributed Revenue</t>
  </si>
  <si>
    <t>Goal</t>
  </si>
  <si>
    <t>Cash Balances</t>
  </si>
  <si>
    <t>May</t>
  </si>
  <si>
    <t>Ending Cash</t>
  </si>
  <si>
    <t>Organization Name:</t>
  </si>
  <si>
    <t>Month</t>
  </si>
  <si>
    <t>Day</t>
  </si>
  <si>
    <t>January</t>
  </si>
  <si>
    <t>Year</t>
  </si>
  <si>
    <t>February</t>
  </si>
  <si>
    <t>Current Period:</t>
  </si>
  <si>
    <t>June</t>
  </si>
  <si>
    <t>March</t>
  </si>
  <si>
    <t>April</t>
  </si>
  <si>
    <t>Prior Period:</t>
  </si>
  <si>
    <t>July</t>
  </si>
  <si>
    <t>August</t>
  </si>
  <si>
    <t>September</t>
  </si>
  <si>
    <t>October</t>
  </si>
  <si>
    <t>November</t>
  </si>
  <si>
    <t>December</t>
  </si>
  <si>
    <t>Jan - Dec 2013</t>
  </si>
  <si>
    <t xml:space="preserve">      Current Liabilities</t>
  </si>
  <si>
    <t xml:space="preserve">         Accounts Payable</t>
  </si>
  <si>
    <t xml:space="preserve">            2100 Accounts Payable (A/P)</t>
  </si>
  <si>
    <t xml:space="preserve">         Other Current Liabilities</t>
  </si>
  <si>
    <t xml:space="preserve">         Total Other Current Liabilities</t>
  </si>
  <si>
    <t xml:space="preserve">      Total Current Liabilities</t>
  </si>
  <si>
    <t>Jan - Dec 2014</t>
  </si>
  <si>
    <t>Jan - Dec 2015</t>
  </si>
  <si>
    <t xml:space="preserve">   7200 Meetings</t>
  </si>
  <si>
    <t>Meetings</t>
  </si>
  <si>
    <t>check</t>
  </si>
  <si>
    <t>ending cash in QBO</t>
  </si>
  <si>
    <t>Undeposited Funds</t>
  </si>
  <si>
    <t xml:space="preserve">   4500 In-Kind Support</t>
  </si>
  <si>
    <t xml:space="preserve">   7700 Public relations</t>
  </si>
  <si>
    <t>Public relations</t>
  </si>
  <si>
    <t>FY 2014</t>
  </si>
  <si>
    <t>FY 2015</t>
  </si>
  <si>
    <t>YE 2013</t>
  </si>
  <si>
    <t>YE 2014</t>
  </si>
  <si>
    <t>YE 2015</t>
  </si>
  <si>
    <t>YE 2016</t>
  </si>
  <si>
    <t xml:space="preserve">   5000 Payroll Expenses</t>
  </si>
  <si>
    <t xml:space="preserve">   Total 5000 Payroll Expenses</t>
  </si>
  <si>
    <t xml:space="preserve">      6330 Accounting Fees</t>
  </si>
  <si>
    <t xml:space="preserve">      6420 Postage &amp; Mailing</t>
  </si>
  <si>
    <t>PRIOR</t>
  </si>
  <si>
    <t xml:space="preserve">      Other Current Assets</t>
  </si>
  <si>
    <t xml:space="preserve">      Total Other Current Assets</t>
  </si>
  <si>
    <t xml:space="preserve">   Fixed Assets</t>
  </si>
  <si>
    <t xml:space="preserve">      1410 Office Equipment</t>
  </si>
  <si>
    <t xml:space="preserve">   Total Fixed Assets</t>
  </si>
  <si>
    <t xml:space="preserve">            Total 2300 Payroll Liabilities</t>
  </si>
  <si>
    <t>Cash &amp; cash equivalents</t>
  </si>
  <si>
    <t>Jan - Dec 2016</t>
  </si>
  <si>
    <t xml:space="preserve">         1040 Petty Cash</t>
  </si>
  <si>
    <t xml:space="preserve">      1500 Mobile App</t>
  </si>
  <si>
    <t xml:space="preserve">      1510 Trademark</t>
  </si>
  <si>
    <t xml:space="preserve">      1590 Accumulated Amortization</t>
  </si>
  <si>
    <t xml:space="preserve">               2310 Federal Taxes (941/944)</t>
  </si>
  <si>
    <t xml:space="preserve">               2320 NYS Employment Taxes</t>
  </si>
  <si>
    <t xml:space="preserve">               2330 NYS Income Tax</t>
  </si>
  <si>
    <t xml:space="preserve">            2900 Direct Deposit Payable</t>
  </si>
  <si>
    <t>Gross Profit</t>
  </si>
  <si>
    <t xml:space="preserve">      5010 Salary &amp; Wages</t>
  </si>
  <si>
    <t xml:space="preserve">      5100 Payroll Taxes</t>
  </si>
  <si>
    <t xml:space="preserve">         5110 FICA</t>
  </si>
  <si>
    <t xml:space="preserve">      Total 5100 Payroll Taxes</t>
  </si>
  <si>
    <t xml:space="preserve">   8000 Depreciation Expenses</t>
  </si>
  <si>
    <t>Trademark</t>
  </si>
  <si>
    <t>Mobile App</t>
  </si>
  <si>
    <t>Less: Accumulated amortization</t>
  </si>
  <si>
    <t xml:space="preserve">   7800 Meals &amp; Entertainment</t>
  </si>
  <si>
    <t>Dec 31, 2012</t>
  </si>
  <si>
    <t>Expenses Allocation</t>
  </si>
  <si>
    <t>Management</t>
  </si>
  <si>
    <t>FY 2016</t>
  </si>
  <si>
    <t xml:space="preserve">      5200 Employee Benefits</t>
  </si>
  <si>
    <t xml:space="preserve">      6450 Payroll Service Fees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</si>
  <si>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</si>
  <si>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</si>
  <si>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</si>
  <si>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</si>
  <si>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</si>
  <si>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</si>
  <si>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</si>
  <si>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</si>
  <si>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</si>
  <si>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</si>
  <si>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</si>
  <si>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</si>
  <si>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>Overall Expenses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</si>
  <si>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</si>
  <si>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</si>
  <si>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</si>
  <si>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</si>
  <si>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</si>
  <si>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</si>
  <si>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</si>
  <si>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</si>
  <si>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</si>
  <si>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</si>
  <si>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</si>
  <si>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FY 2017</t>
  </si>
  <si>
    <t xml:space="preserve">      6310 Auditor Fees</t>
  </si>
  <si>
    <t>Statement of Cash Flows</t>
  </si>
  <si>
    <t>Net Operating Gain/(Loss)</t>
  </si>
  <si>
    <t>Percentage of Goal</t>
  </si>
  <si>
    <t>Jan - Dec 2017</t>
  </si>
  <si>
    <t xml:space="preserve">      6320 Legal Fees</t>
  </si>
  <si>
    <t>YE 2017</t>
  </si>
  <si>
    <t>YTD 2018</t>
  </si>
  <si>
    <t>Current Fiscal Year End:</t>
  </si>
  <si>
    <t>Prior Year Fiscal Year End:</t>
  </si>
  <si>
    <t>Dec 31,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</si>
  <si>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</si>
  <si>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</si>
  <si>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</si>
  <si>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</si>
  <si>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</si>
  <si>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</si>
  <si>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</si>
  <si>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</si>
  <si>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</si>
  <si>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</si>
  <si>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</si>
  <si>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</si>
  <si>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 xml:space="preserve">      6430 Printing &amp; Copying</t>
  </si>
  <si>
    <t>Without Donor Restrictions</t>
  </si>
  <si>
    <t>Without Donor</t>
  </si>
  <si>
    <t>Restrictions</t>
  </si>
  <si>
    <t>With Donor</t>
  </si>
  <si>
    <t>YTD Changes</t>
  </si>
  <si>
    <t>FY 2018</t>
  </si>
  <si>
    <t xml:space="preserve">Net Asset Roll Forward </t>
  </si>
  <si>
    <t>Additions (Revenue)</t>
  </si>
  <si>
    <t>Releases (Expenditures)</t>
  </si>
  <si>
    <t>Receivable</t>
  </si>
  <si>
    <t>With Donor-Restrictions</t>
  </si>
  <si>
    <t>Restricted
Cash</t>
  </si>
  <si>
    <t>Notes</t>
  </si>
  <si>
    <t>Undesignated</t>
  </si>
  <si>
    <t>Board-Designated for Operating Reserves</t>
  </si>
  <si>
    <t>WITHOUT DONOR RESTRICTIONS</t>
  </si>
  <si>
    <t>Donor Restrictions Temporary in Nature:</t>
  </si>
  <si>
    <t>Purpose Restrictions:</t>
  </si>
  <si>
    <t>Time Restrictions:</t>
  </si>
  <si>
    <t>Subtotal, Operating</t>
  </si>
  <si>
    <t>Purpose Restriction, Capital Campaign:</t>
  </si>
  <si>
    <t>Subtotal, Capital Campaign</t>
  </si>
  <si>
    <t>Donor Restrictions Temporary in Nature</t>
  </si>
  <si>
    <t>Donor Restrictions Perpetual in Nature</t>
  </si>
  <si>
    <t>Endowment</t>
  </si>
  <si>
    <t>WITH DONOR RESTRICTIONS</t>
  </si>
  <si>
    <t>TOTAL NET ASSETS</t>
  </si>
  <si>
    <t>Clovis Oncology</t>
  </si>
  <si>
    <t>to support the "Building Prostate Cancer Awareness Among Gay and Bisexual Men"</t>
  </si>
  <si>
    <t>Pfizer Inc</t>
  </si>
  <si>
    <t>to support 2018 African American Men and Prostate Cancer Project</t>
  </si>
  <si>
    <t xml:space="preserve">         5130 Disability</t>
  </si>
  <si>
    <t xml:space="preserve">      6470 Filing Fees</t>
  </si>
  <si>
    <t>Financial assets available for general expenditure, that is, without donor or other restrictions limiting</t>
  </si>
  <si>
    <t>their use, within one year of the balance sheet date, comprise the following:</t>
  </si>
  <si>
    <t>Less contractual or donor-imposed restrictions:</t>
  </si>
  <si>
    <t>Restricted by donors with purpose restrictions</t>
  </si>
  <si>
    <t>Restricted by donors with time restrictions</t>
  </si>
  <si>
    <t>Financial assets available to meet cash needs for general expenditure within one year</t>
  </si>
  <si>
    <t>Net Assets, end of period</t>
  </si>
  <si>
    <t>Cash, end of period</t>
  </si>
  <si>
    <t>Without donor restrictions</t>
  </si>
  <si>
    <t>With donor restrictions</t>
  </si>
  <si>
    <t>Assets</t>
  </si>
  <si>
    <t>Liabilities &amp; Net Assets</t>
  </si>
  <si>
    <t>Current Assets:</t>
  </si>
  <si>
    <t>Subtotal, Current Assets</t>
  </si>
  <si>
    <t>Individual contributions</t>
  </si>
  <si>
    <t>Corporate contributions</t>
  </si>
  <si>
    <t>Foundation contributions</t>
  </si>
  <si>
    <t>Expenses</t>
  </si>
  <si>
    <t>Cancer support</t>
  </si>
  <si>
    <t>Management &amp; general admin</t>
  </si>
  <si>
    <t>Office expenses</t>
  </si>
  <si>
    <t>Advertising &amp; promotions</t>
  </si>
  <si>
    <t>Website &amp; IT support</t>
  </si>
  <si>
    <t>Program supplies &amp; materials</t>
  </si>
  <si>
    <t>Meals &amp; entertainment</t>
  </si>
  <si>
    <t>Depreciation &amp; amortization</t>
  </si>
  <si>
    <t>Salaries &amp; expenses</t>
  </si>
  <si>
    <t>Total Revenue and Support</t>
  </si>
  <si>
    <t>Sanofi</t>
  </si>
  <si>
    <t>Net asset released from restriction</t>
  </si>
  <si>
    <t xml:space="preserve"> In-kind contributions</t>
  </si>
  <si>
    <t>Earned income</t>
  </si>
  <si>
    <t>Other income</t>
  </si>
  <si>
    <t>Total Earned Revenue</t>
  </si>
  <si>
    <t>Revenue and Support</t>
  </si>
  <si>
    <t>Cash Availability</t>
  </si>
  <si>
    <t xml:space="preserve">      1490 Accumulated Depreciation</t>
  </si>
  <si>
    <t>Jan - Dec 2018</t>
  </si>
  <si>
    <t>Other Expenditures</t>
  </si>
  <si>
    <t>Total Other Expenditures</t>
  </si>
  <si>
    <t>Net Other Revenue</t>
  </si>
  <si>
    <t>Less: Accumulated depreciation</t>
  </si>
  <si>
    <t>to support "African American Men with Prostate Cancer" program</t>
  </si>
  <si>
    <t>Foundation Medicine</t>
  </si>
  <si>
    <t>to support Prostate Cancer Test Anxiety Reduction Project</t>
  </si>
  <si>
    <t>Subtotal, Corporations</t>
  </si>
  <si>
    <t>Time restricted donations from Corporations</t>
  </si>
  <si>
    <t>Time restricted donations from Foundations</t>
  </si>
  <si>
    <t>Time restricted donations from Individuals</t>
  </si>
  <si>
    <t>Subtotal, Time Restrictions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</si>
</sst>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0_);\(0\)"/>
    <numFmt numFmtId="166" formatCode="_(* #,##0_);_(* \(#,##0\);_(* &quot;-&quot;??_);_(@_)"/>
    <numFmt numFmtId="167" formatCode="#,##0.00\ _€"/>
    <numFmt numFmtId="168" formatCode="&quot;$&quot;* #,##0.00\ _€"/>
    <numFmt numFmtId="169" formatCode="0.0%"/>
    <numFmt numFmtId="170" formatCode="_(&quot;$&quot;* #,##0_);_(&quot;$&quot;* \(#,##0\);_(&quot;$&quot;* &quot;-&quot;??_);_(@_)"/>
    <numFmt numFmtId="171" formatCode="#,##0;\-#,##0;0"/>
    <numFmt numFmtId="173" formatCode="_-* #,##0.00_-;\-* #,##0.00_-;_-* &quot;-&quot;??_-;_-@_-"/>
    <numFmt numFmtId="175" formatCode="#,##0.00;\-#,##0.00;0.00"/>
  </numFmts>
  <fonts count="4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u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sz val="10"/>
      <name val="Times New Roman"/>
      <family val="1"/>
    </font>
    <font>
      <sz val="10"/>
      <color rgb="FF000000"/>
      <name val="Lucida Grande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Accounting"/>
      <sz val="11"/>
      <color theme="1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6" fillId="0" borderId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23" fillId="0" borderId="0"/>
    <xf numFmtId="0" fontId="24" fillId="0" borderId="0" applyNumberFormat="0" applyFill="0" applyBorder="0" applyAlignment="0" applyProtection="0"/>
    <xf numFmtId="173" fontId="11" fillId="0" borderId="0" applyFont="0" applyFill="0" applyBorder="0" applyAlignment="0" applyProtection="0"/>
    <xf numFmtId="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5" fontId="26" fillId="0" borderId="0"/>
    <xf numFmtId="0" fontId="31" fillId="0" borderId="0"/>
    <xf numFmtId="44" fontId="31" fillId="0" borderId="0" applyFont="0" applyFill="0" applyBorder="0" applyAlignment="0" applyProtection="0"/>
  </cellStyleXfs>
  <cellXfs count="215">
    <xf numFmtId="0" fontId="0" fillId="0" borderId="0" xfId="0"/>
    <xf numFmtId="41" fontId="0" fillId="0" borderId="0" xfId="0" applyNumberFormat="1"/>
    <xf numFmtId="41" fontId="0" fillId="0" borderId="1" xfId="0" applyNumberFormat="1" applyBorder="1"/>
    <xf numFmtId="42" fontId="0" fillId="0" borderId="0" xfId="0" applyNumberFormat="1"/>
    <xf numFmtId="41" fontId="0" fillId="0" borderId="0" xfId="0" applyNumberFormat="1" applyBorder="1"/>
    <xf numFmtId="9" fontId="0" fillId="0" borderId="1" xfId="0" applyNumberFormat="1" applyBorder="1"/>
    <xf numFmtId="0" fontId="0" fillId="0" borderId="0" xfId="0" applyFont="1"/>
    <xf numFmtId="41" fontId="0" fillId="0" borderId="0" xfId="0" applyNumberFormat="1" applyFill="1"/>
    <xf numFmtId="42" fontId="0" fillId="0" borderId="0" xfId="0" applyNumberFormat="1" applyFill="1" applyBorder="1"/>
    <xf numFmtId="0" fontId="0" fillId="0" borderId="0" xfId="0" applyFill="1"/>
    <xf numFmtId="41" fontId="0" fillId="0" borderId="0" xfId="0" applyNumberFormat="1" applyFill="1" applyBorder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center" wrapText="1"/>
    </xf>
    <xf numFmtId="9" fontId="0" fillId="0" borderId="0" xfId="0" applyNumberFormat="1"/>
    <xf numFmtId="0" fontId="3" fillId="0" borderId="0" xfId="0" applyFont="1"/>
    <xf numFmtId="0" fontId="6" fillId="0" borderId="0" xfId="3" applyAlignment="1">
      <alignment horizontal="center"/>
    </xf>
    <xf numFmtId="0" fontId="6" fillId="0" borderId="0" xfId="3"/>
    <xf numFmtId="0" fontId="9" fillId="0" borderId="0" xfId="3" applyFont="1"/>
    <xf numFmtId="0" fontId="9" fillId="0" borderId="0" xfId="3" applyNumberFormat="1" applyFont="1"/>
    <xf numFmtId="0" fontId="6" fillId="0" borderId="0" xfId="3" applyNumberFormat="1"/>
    <xf numFmtId="0" fontId="9" fillId="0" borderId="0" xfId="0" applyNumberFormat="1" applyFont="1"/>
    <xf numFmtId="0" fontId="0" fillId="0" borderId="0" xfId="0" applyNumberFormat="1"/>
    <xf numFmtId="0" fontId="6" fillId="0" borderId="0" xfId="1" applyAlignment="1">
      <alignment horizontal="center"/>
    </xf>
    <xf numFmtId="0" fontId="6" fillId="0" borderId="0" xfId="1"/>
    <xf numFmtId="0" fontId="9" fillId="0" borderId="0" xfId="1" applyFont="1"/>
    <xf numFmtId="0" fontId="9" fillId="0" borderId="0" xfId="1" applyNumberFormat="1" applyFont="1"/>
    <xf numFmtId="0" fontId="6" fillId="0" borderId="0" xfId="1" applyNumberFormat="1"/>
    <xf numFmtId="0" fontId="6" fillId="0" borderId="0" xfId="2" applyAlignment="1">
      <alignment horizontal="center"/>
    </xf>
    <xf numFmtId="0" fontId="6" fillId="0" borderId="0" xfId="2"/>
    <xf numFmtId="0" fontId="9" fillId="0" borderId="0" xfId="2" applyFont="1"/>
    <xf numFmtId="0" fontId="9" fillId="0" borderId="0" xfId="2" applyNumberFormat="1" applyFont="1"/>
    <xf numFmtId="0" fontId="6" fillId="0" borderId="0" xfId="2" applyNumberFormat="1"/>
    <xf numFmtId="0" fontId="9" fillId="0" borderId="0" xfId="0" applyFont="1"/>
    <xf numFmtId="0" fontId="0" fillId="0" borderId="0" xfId="0" applyAlignment="1">
      <alignment horizontal="center"/>
    </xf>
    <xf numFmtId="166" fontId="0" fillId="0" borderId="0" xfId="4" applyNumberFormat="1" applyFont="1"/>
    <xf numFmtId="37" fontId="0" fillId="0" borderId="0" xfId="0" applyNumberFormat="1"/>
    <xf numFmtId="0" fontId="0" fillId="0" borderId="0" xfId="4" applyNumberFormat="1" applyFont="1"/>
    <xf numFmtId="41" fontId="0" fillId="0" borderId="0" xfId="4" applyNumberFormat="1" applyFont="1"/>
    <xf numFmtId="41" fontId="0" fillId="0" borderId="1" xfId="4" applyNumberFormat="1" applyFont="1" applyBorder="1"/>
    <xf numFmtId="41" fontId="0" fillId="0" borderId="0" xfId="4" applyNumberFormat="1" applyFont="1" applyFill="1"/>
    <xf numFmtId="41" fontId="0" fillId="0" borderId="0" xfId="4" applyNumberFormat="1" applyFont="1" applyBorder="1"/>
    <xf numFmtId="41" fontId="0" fillId="0" borderId="2" xfId="0" applyNumberFormat="1" applyBorder="1"/>
    <xf numFmtId="41" fontId="0" fillId="0" borderId="3" xfId="0" applyNumberFormat="1" applyBorder="1"/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9" fillId="0" borderId="0" xfId="0" applyNumberFormat="1" applyFont="1" applyBorder="1"/>
    <xf numFmtId="164" fontId="8" fillId="0" borderId="0" xfId="0" applyNumberFormat="1" applyFont="1" applyBorder="1"/>
    <xf numFmtId="0" fontId="0" fillId="0" borderId="0" xfId="0" applyBorder="1"/>
    <xf numFmtId="164" fontId="9" fillId="0" borderId="0" xfId="0" applyNumberFormat="1" applyFont="1" applyBorder="1"/>
    <xf numFmtId="0" fontId="9" fillId="0" borderId="0" xfId="0" applyFont="1" applyBorder="1"/>
    <xf numFmtId="0" fontId="9" fillId="0" borderId="0" xfId="0" applyNumberFormat="1" applyFont="1" applyBorder="1"/>
    <xf numFmtId="0" fontId="0" fillId="0" borderId="0" xfId="0" applyNumberFormat="1" applyBorder="1"/>
    <xf numFmtId="0" fontId="6" fillId="0" borderId="0" xfId="3" applyBorder="1"/>
    <xf numFmtId="0" fontId="6" fillId="0" borderId="0" xfId="1" applyBorder="1" applyAlignment="1">
      <alignment horizontal="center"/>
    </xf>
    <xf numFmtId="0" fontId="6" fillId="0" borderId="0" xfId="1" applyBorder="1"/>
    <xf numFmtId="0" fontId="9" fillId="0" borderId="0" xfId="1" applyFont="1" applyBorder="1"/>
    <xf numFmtId="0" fontId="9" fillId="0" borderId="0" xfId="1" applyNumberFormat="1" applyFont="1" applyBorder="1"/>
    <xf numFmtId="0" fontId="6" fillId="0" borderId="0" xfId="1" applyNumberFormat="1" applyBorder="1"/>
    <xf numFmtId="0" fontId="6" fillId="0" borderId="0" xfId="2" applyBorder="1" applyAlignment="1">
      <alignment horizontal="center"/>
    </xf>
    <xf numFmtId="0" fontId="6" fillId="0" borderId="0" xfId="2" applyBorder="1"/>
    <xf numFmtId="0" fontId="9" fillId="0" borderId="0" xfId="2" applyFont="1" applyBorder="1"/>
    <xf numFmtId="0" fontId="9" fillId="0" borderId="0" xfId="2" applyNumberFormat="1" applyFont="1" applyBorder="1"/>
    <xf numFmtId="0" fontId="6" fillId="0" borderId="0" xfId="2" applyNumberFormat="1" applyBorder="1"/>
    <xf numFmtId="0" fontId="0" fillId="0" borderId="0" xfId="0" applyAlignment="1">
      <alignment wrapText="1"/>
    </xf>
    <xf numFmtId="0" fontId="14" fillId="0" borderId="0" xfId="0" applyFont="1" applyAlignment="1">
      <alignment horizontal="left" wrapText="1"/>
    </xf>
    <xf numFmtId="167" fontId="7" fillId="0" borderId="0" xfId="0" applyNumberFormat="1" applyFont="1" applyAlignment="1">
      <alignment wrapText="1"/>
    </xf>
    <xf numFmtId="167" fontId="7" fillId="0" borderId="0" xfId="0" applyNumberFormat="1" applyFont="1" applyAlignment="1">
      <alignment horizontal="right" wrapText="1"/>
    </xf>
    <xf numFmtId="168" fontId="14" fillId="0" borderId="13" xfId="0" applyNumberFormat="1" applyFont="1" applyBorder="1" applyAlignment="1">
      <alignment horizontal="right" wrapText="1"/>
    </xf>
    <xf numFmtId="0" fontId="13" fillId="0" borderId="0" xfId="0" applyFont="1"/>
    <xf numFmtId="41" fontId="13" fillId="0" borderId="0" xfId="0" applyNumberFormat="1" applyFont="1"/>
    <xf numFmtId="41" fontId="0" fillId="0" borderId="4" xfId="0" applyNumberFormat="1" applyFont="1" applyBorder="1" applyAlignment="1">
      <alignment horizontal="center"/>
    </xf>
    <xf numFmtId="41" fontId="0" fillId="0" borderId="11" xfId="0" applyNumberFormat="1" applyFont="1" applyBorder="1"/>
    <xf numFmtId="41" fontId="0" fillId="0" borderId="7" xfId="0" applyNumberFormat="1" applyFont="1" applyBorder="1"/>
    <xf numFmtId="37" fontId="0" fillId="0" borderId="0" xfId="0" applyNumberFormat="1" applyFont="1"/>
    <xf numFmtId="41" fontId="0" fillId="0" borderId="0" xfId="0" applyNumberFormat="1" applyBorder="1" applyAlignment="1">
      <alignment horizontal="center"/>
    </xf>
    <xf numFmtId="41" fontId="13" fillId="0" borderId="0" xfId="0" applyNumberFormat="1" applyFont="1" applyBorder="1"/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2" borderId="0" xfId="0" applyFill="1"/>
    <xf numFmtId="0" fontId="6" fillId="3" borderId="0" xfId="2" applyFill="1" applyAlignment="1">
      <alignment horizontal="center"/>
    </xf>
    <xf numFmtId="0" fontId="6" fillId="3" borderId="0" xfId="2" applyFill="1"/>
    <xf numFmtId="49" fontId="6" fillId="3" borderId="0" xfId="2" applyNumberFormat="1" applyFill="1"/>
    <xf numFmtId="0" fontId="9" fillId="3" borderId="0" xfId="2" applyNumberFormat="1" applyFont="1" applyFill="1"/>
    <xf numFmtId="0" fontId="6" fillId="3" borderId="0" xfId="2" applyNumberFormat="1" applyFill="1"/>
    <xf numFmtId="0" fontId="6" fillId="3" borderId="0" xfId="3" applyFill="1" applyAlignment="1">
      <alignment horizontal="center"/>
    </xf>
    <xf numFmtId="164" fontId="8" fillId="3" borderId="0" xfId="3" applyNumberFormat="1" applyFont="1" applyFill="1"/>
    <xf numFmtId="0" fontId="6" fillId="3" borderId="0" xfId="3" applyFill="1"/>
    <xf numFmtId="49" fontId="9" fillId="3" borderId="0" xfId="0" applyNumberFormat="1" applyFon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166" fontId="13" fillId="0" borderId="0" xfId="4" applyNumberFormat="1" applyFont="1"/>
    <xf numFmtId="0" fontId="0" fillId="3" borderId="0" xfId="0" applyFill="1"/>
    <xf numFmtId="0" fontId="1" fillId="3" borderId="0" xfId="0" applyFont="1" applyFill="1" applyAlignment="1">
      <alignment horizontal="center"/>
    </xf>
    <xf numFmtId="0" fontId="13" fillId="3" borderId="0" xfId="0" applyFont="1" applyFill="1"/>
    <xf numFmtId="165" fontId="2" fillId="3" borderId="0" xfId="0" applyNumberFormat="1" applyFont="1" applyFill="1"/>
    <xf numFmtId="41" fontId="0" fillId="0" borderId="4" xfId="0" applyNumberFormat="1" applyFont="1" applyBorder="1" applyAlignment="1">
      <alignment horizontal="center" wrapText="1"/>
    </xf>
    <xf numFmtId="41" fontId="0" fillId="0" borderId="7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167" fontId="17" fillId="0" borderId="0" xfId="0" applyNumberFormat="1" applyFont="1" applyAlignment="1">
      <alignment wrapText="1"/>
    </xf>
    <xf numFmtId="0" fontId="0" fillId="3" borderId="0" xfId="0" applyFill="1" applyAlignment="1">
      <alignment horizontal="left"/>
    </xf>
    <xf numFmtId="44" fontId="13" fillId="0" borderId="0" xfId="0" applyNumberFormat="1" applyFont="1"/>
    <xf numFmtId="41" fontId="13" fillId="3" borderId="0" xfId="0" applyNumberFormat="1" applyFont="1" applyFill="1"/>
    <xf numFmtId="0" fontId="0" fillId="0" borderId="14" xfId="4" applyNumberFormat="1" applyFont="1" applyBorder="1" applyAlignment="1">
      <alignment horizontal="center"/>
    </xf>
    <xf numFmtId="41" fontId="0" fillId="0" borderId="3" xfId="4" applyNumberFormat="1" applyFont="1" applyBorder="1"/>
    <xf numFmtId="41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1" fontId="0" fillId="0" borderId="14" xfId="0" applyNumberFormat="1" applyBorder="1" applyAlignment="1">
      <alignment horizontal="center"/>
    </xf>
    <xf numFmtId="41" fontId="0" fillId="0" borderId="14" xfId="0" applyNumberFormat="1" applyBorder="1"/>
    <xf numFmtId="0" fontId="0" fillId="0" borderId="14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41" fontId="0" fillId="3" borderId="12" xfId="0" applyNumberFormat="1" applyFont="1" applyFill="1" applyBorder="1"/>
    <xf numFmtId="0" fontId="12" fillId="0" borderId="0" xfId="0" applyFont="1"/>
    <xf numFmtId="0" fontId="12" fillId="3" borderId="0" xfId="0" applyFont="1" applyFill="1"/>
    <xf numFmtId="41" fontId="0" fillId="3" borderId="0" xfId="0" applyNumberFormat="1" applyFill="1"/>
    <xf numFmtId="41" fontId="0" fillId="0" borderId="6" xfId="0" applyNumberFormat="1" applyFont="1" applyBorder="1"/>
    <xf numFmtId="41" fontId="0" fillId="0" borderId="1" xfId="0" applyNumberFormat="1" applyFont="1" applyBorder="1"/>
    <xf numFmtId="169" fontId="0" fillId="0" borderId="0" xfId="6" applyNumberFormat="1" applyFont="1"/>
    <xf numFmtId="49" fontId="12" fillId="3" borderId="0" xfId="0" applyNumberFormat="1" applyFont="1" applyFill="1" applyBorder="1" applyAlignment="1">
      <alignment horizontal="center"/>
    </xf>
    <xf numFmtId="49" fontId="18" fillId="3" borderId="0" xfId="0" applyNumberFormat="1" applyFont="1" applyFill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167" fontId="21" fillId="0" borderId="0" xfId="0" applyNumberFormat="1" applyFont="1" applyAlignment="1">
      <alignment wrapText="1"/>
    </xf>
    <xf numFmtId="167" fontId="21" fillId="0" borderId="0" xfId="0" applyNumberFormat="1" applyFont="1" applyAlignment="1">
      <alignment horizontal="right" wrapText="1"/>
    </xf>
    <xf numFmtId="168" fontId="20" fillId="0" borderId="15" xfId="0" applyNumberFormat="1" applyFont="1" applyBorder="1" applyAlignment="1">
      <alignment horizontal="right" wrapText="1"/>
    </xf>
    <xf numFmtId="0" fontId="22" fillId="0" borderId="0" xfId="0" applyFont="1"/>
    <xf numFmtId="0" fontId="22" fillId="3" borderId="0" xfId="0" applyFont="1" applyFill="1"/>
    <xf numFmtId="44" fontId="0" fillId="0" borderId="0" xfId="5" applyFont="1"/>
    <xf numFmtId="9" fontId="0" fillId="0" borderId="0" xfId="6" applyFont="1"/>
    <xf numFmtId="9" fontId="0" fillId="0" borderId="0" xfId="6" applyNumberFormat="1" applyFont="1"/>
    <xf numFmtId="41" fontId="12" fillId="0" borderId="0" xfId="0" applyNumberFormat="1" applyFont="1"/>
    <xf numFmtId="166" fontId="0" fillId="0" borderId="0" xfId="0" applyNumberFormat="1"/>
    <xf numFmtId="43" fontId="0" fillId="0" borderId="0" xfId="0" applyNumberFormat="1"/>
    <xf numFmtId="0" fontId="0" fillId="4" borderId="0" xfId="0" applyFill="1"/>
    <xf numFmtId="41" fontId="0" fillId="4" borderId="14" xfId="0" applyNumberFormat="1" applyFill="1" applyBorder="1"/>
    <xf numFmtId="41" fontId="0" fillId="4" borderId="0" xfId="0" applyNumberFormat="1" applyFill="1" applyBorder="1"/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167" fontId="29" fillId="0" borderId="0" xfId="0" applyNumberFormat="1" applyFont="1" applyAlignment="1">
      <alignment horizontal="right" wrapText="1"/>
    </xf>
    <xf numFmtId="167" fontId="29" fillId="0" borderId="0" xfId="0" applyNumberFormat="1" applyFont="1" applyAlignment="1">
      <alignment wrapText="1"/>
    </xf>
    <xf numFmtId="168" fontId="28" fillId="0" borderId="15" xfId="0" applyNumberFormat="1" applyFont="1" applyBorder="1" applyAlignment="1">
      <alignment horizontal="right" wrapText="1"/>
    </xf>
    <xf numFmtId="166" fontId="0" fillId="0" borderId="0" xfId="0" applyNumberFormat="1" applyFill="1"/>
    <xf numFmtId="169" fontId="0" fillId="3" borderId="0" xfId="6" applyNumberFormat="1" applyFont="1" applyFill="1"/>
    <xf numFmtId="0" fontId="12" fillId="0" borderId="0" xfId="0" applyFont="1" applyFill="1"/>
    <xf numFmtId="0" fontId="0" fillId="0" borderId="0" xfId="0" applyFont="1" applyFill="1" applyBorder="1"/>
    <xf numFmtId="0" fontId="0" fillId="0" borderId="0" xfId="0" applyFont="1" applyFill="1"/>
    <xf numFmtId="43" fontId="0" fillId="0" borderId="0" xfId="0" applyNumberFormat="1" applyFont="1" applyFill="1" applyBorder="1" applyAlignment="1">
      <alignment horizontal="center" wrapText="1"/>
    </xf>
    <xf numFmtId="41" fontId="0" fillId="0" borderId="0" xfId="0" applyNumberFormat="1" applyFont="1" applyFill="1" applyBorder="1"/>
    <xf numFmtId="41" fontId="0" fillId="5" borderId="0" xfId="0" applyNumberFormat="1" applyFont="1" applyFill="1" applyBorder="1"/>
    <xf numFmtId="41" fontId="0" fillId="0" borderId="1" xfId="0" applyNumberFormat="1" applyFont="1" applyFill="1" applyBorder="1"/>
    <xf numFmtId="42" fontId="0" fillId="3" borderId="1" xfId="0" applyNumberFormat="1" applyFont="1" applyFill="1" applyBorder="1"/>
    <xf numFmtId="42" fontId="0" fillId="3" borderId="2" xfId="0" applyNumberFormat="1" applyFont="1" applyFill="1" applyBorder="1"/>
    <xf numFmtId="43" fontId="0" fillId="0" borderId="1" xfId="0" applyNumberFormat="1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/>
    <xf numFmtId="0" fontId="0" fillId="3" borderId="7" xfId="0" applyFont="1" applyFill="1" applyBorder="1"/>
    <xf numFmtId="0" fontId="0" fillId="0" borderId="7" xfId="0" applyFont="1" applyFill="1" applyBorder="1"/>
    <xf numFmtId="44" fontId="0" fillId="3" borderId="17" xfId="0" applyNumberFormat="1" applyFont="1" applyFill="1" applyBorder="1"/>
    <xf numFmtId="14" fontId="0" fillId="0" borderId="4" xfId="0" applyNumberFormat="1" applyFont="1" applyFill="1" applyBorder="1" applyAlignment="1">
      <alignment horizontal="center" wrapText="1"/>
    </xf>
    <xf numFmtId="43" fontId="0" fillId="0" borderId="8" xfId="0" applyNumberFormat="1" applyFont="1" applyFill="1" applyBorder="1" applyAlignment="1">
      <alignment horizontal="center" wrapText="1"/>
    </xf>
    <xf numFmtId="41" fontId="0" fillId="0" borderId="8" xfId="0" applyNumberFormat="1" applyFont="1" applyFill="1" applyBorder="1"/>
    <xf numFmtId="42" fontId="0" fillId="3" borderId="4" xfId="0" applyNumberFormat="1" applyFont="1" applyFill="1" applyBorder="1"/>
    <xf numFmtId="41" fontId="0" fillId="0" borderId="4" xfId="0" applyNumberFormat="1" applyFont="1" applyFill="1" applyBorder="1"/>
    <xf numFmtId="42" fontId="0" fillId="3" borderId="5" xfId="0" applyNumberFormat="1" applyFont="1" applyFill="1" applyBorder="1"/>
    <xf numFmtId="43" fontId="0" fillId="0" borderId="4" xfId="0" applyNumberFormat="1" applyFont="1" applyFill="1" applyBorder="1" applyAlignment="1">
      <alignment horizontal="center" wrapText="1"/>
    </xf>
    <xf numFmtId="0" fontId="0" fillId="0" borderId="10" xfId="0" applyFont="1" applyFill="1" applyBorder="1"/>
    <xf numFmtId="0" fontId="0" fillId="0" borderId="8" xfId="0" applyFont="1" applyFill="1" applyBorder="1"/>
    <xf numFmtId="0" fontId="0" fillId="3" borderId="4" xfId="0" applyFont="1" applyFill="1" applyBorder="1"/>
    <xf numFmtId="0" fontId="22" fillId="0" borderId="8" xfId="0" applyFont="1" applyFill="1" applyBorder="1"/>
    <xf numFmtId="0" fontId="30" fillId="0" borderId="8" xfId="0" applyFont="1" applyFill="1" applyBorder="1"/>
    <xf numFmtId="0" fontId="0" fillId="0" borderId="8" xfId="0" applyFont="1" applyFill="1" applyBorder="1" applyAlignment="1">
      <alignment horizontal="left" indent="1"/>
    </xf>
    <xf numFmtId="0" fontId="0" fillId="0" borderId="4" xfId="0" applyFont="1" applyFill="1" applyBorder="1" applyAlignment="1">
      <alignment horizontal="left" indent="2"/>
    </xf>
    <xf numFmtId="0" fontId="0" fillId="0" borderId="8" xfId="0" applyFont="1" applyFill="1" applyBorder="1" applyAlignment="1">
      <alignment horizontal="left" indent="2"/>
    </xf>
    <xf numFmtId="0" fontId="30" fillId="0" borderId="8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 indent="1"/>
    </xf>
    <xf numFmtId="0" fontId="0" fillId="3" borderId="5" xfId="0" applyFont="1" applyFill="1" applyBorder="1"/>
    <xf numFmtId="42" fontId="13" fillId="0" borderId="0" xfId="0" applyNumberFormat="1" applyFont="1" applyFill="1"/>
    <xf numFmtId="0" fontId="13" fillId="0" borderId="0" xfId="0" applyFont="1" applyFill="1"/>
    <xf numFmtId="0" fontId="32" fillId="0" borderId="0" xfId="13" applyFont="1"/>
    <xf numFmtId="0" fontId="31" fillId="0" borderId="0" xfId="13"/>
    <xf numFmtId="0" fontId="31" fillId="0" borderId="0" xfId="13" applyFont="1"/>
    <xf numFmtId="0" fontId="31" fillId="0" borderId="0" xfId="13" applyAlignment="1">
      <alignment horizontal="left" indent="1"/>
    </xf>
    <xf numFmtId="170" fontId="0" fillId="0" borderId="0" xfId="14" applyNumberFormat="1" applyFont="1"/>
    <xf numFmtId="41" fontId="0" fillId="0" borderId="0" xfId="14" applyNumberFormat="1" applyFont="1"/>
    <xf numFmtId="41" fontId="0" fillId="0" borderId="0" xfId="9" applyNumberFormat="1" applyFont="1"/>
    <xf numFmtId="0" fontId="31" fillId="0" borderId="0" xfId="13" applyAlignment="1">
      <alignment horizontal="left" indent="3"/>
    </xf>
    <xf numFmtId="41" fontId="0" fillId="0" borderId="0" xfId="9" applyNumberFormat="1" applyFont="1" applyBorder="1"/>
    <xf numFmtId="41" fontId="0" fillId="0" borderId="14" xfId="9" applyNumberFormat="1" applyFont="1" applyBorder="1"/>
    <xf numFmtId="170" fontId="31" fillId="0" borderId="2" xfId="13" applyNumberFormat="1" applyBorder="1"/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9" fontId="13" fillId="0" borderId="0" xfId="6" applyFont="1"/>
    <xf numFmtId="0" fontId="33" fillId="0" borderId="14" xfId="0" applyFont="1" applyBorder="1" applyAlignment="1">
      <alignment horizontal="center" wrapText="1"/>
    </xf>
    <xf numFmtId="0" fontId="34" fillId="0" borderId="0" xfId="0" applyFont="1" applyAlignment="1">
      <alignment horizontal="left" wrapText="1"/>
    </xf>
    <xf numFmtId="167" fontId="35" fillId="0" borderId="0" xfId="0" applyNumberFormat="1" applyFont="1" applyAlignment="1">
      <alignment wrapText="1"/>
    </xf>
    <xf numFmtId="167" fontId="35" fillId="0" borderId="0" xfId="0" applyNumberFormat="1" applyFont="1" applyAlignment="1">
      <alignment horizontal="right" wrapText="1"/>
    </xf>
    <xf numFmtId="168" fontId="34" fillId="0" borderId="15" xfId="0" applyNumberFormat="1" applyFont="1" applyBorder="1" applyAlignment="1">
      <alignment horizontal="right" wrapText="1"/>
    </xf>
    <xf numFmtId="41" fontId="36" fillId="0" borderId="8" xfId="0" applyNumberFormat="1" applyFont="1" applyFill="1" applyBorder="1"/>
    <xf numFmtId="0" fontId="30" fillId="0" borderId="8" xfId="0" applyFont="1" applyFill="1" applyBorder="1" applyAlignment="1">
      <alignment horizontal="left" indent="4"/>
    </xf>
    <xf numFmtId="41" fontId="0" fillId="0" borderId="14" xfId="4" applyNumberFormat="1" applyFont="1" applyBorder="1"/>
    <xf numFmtId="0" fontId="37" fillId="0" borderId="14" xfId="0" applyFont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167" fontId="39" fillId="0" borderId="0" xfId="0" applyNumberFormat="1" applyFont="1" applyAlignment="1">
      <alignment wrapText="1"/>
    </xf>
    <xf numFmtId="167" fontId="39" fillId="0" borderId="0" xfId="0" applyNumberFormat="1" applyFont="1" applyAlignment="1">
      <alignment horizontal="right" wrapText="1"/>
    </xf>
    <xf numFmtId="168" fontId="38" fillId="0" borderId="15" xfId="0" applyNumberFormat="1" applyFont="1" applyBorder="1" applyAlignment="1">
      <alignment horizontal="right" wrapText="1"/>
    </xf>
    <xf numFmtId="0" fontId="0" fillId="2" borderId="0" xfId="0" applyFill="1" applyAlignment="1">
      <alignment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0" xfId="0" applyFont="1" applyFill="1" applyAlignment="1">
      <alignment horizontal="center"/>
    </xf>
  </cellXfs>
  <cellStyles count="15">
    <cellStyle name="Comma" xfId="4" builtinId="3"/>
    <cellStyle name="Comma 2" xfId="9" xr:uid="{00000000-0005-0000-0000-000001000000}"/>
    <cellStyle name="Comma 4" xfId="11" xr:uid="{00000000-0005-0000-0000-000002000000}"/>
    <cellStyle name="Currency" xfId="5" builtinId="4"/>
    <cellStyle name="Currency 2" xfId="14" xr:uid="{41615107-C076-456C-A2EC-665ECD1E4975}"/>
    <cellStyle name="Normal" xfId="0" builtinId="0"/>
    <cellStyle name="Normal 15" xfId="12" xr:uid="{00000000-0005-0000-0000-000006000000}"/>
    <cellStyle name="Normal 3" xfId="13" xr:uid="{B3B7D8B6-8AF4-4D64-B40B-53DF1A5F67A9}"/>
    <cellStyle name="Normal 5" xfId="7" xr:uid="{00000000-0005-0000-0000-000007000000}"/>
    <cellStyle name="Normal_Book15" xfId="1" xr:uid="{00000000-0005-0000-0000-000008000000}"/>
    <cellStyle name="Normal_Book17" xfId="2" xr:uid="{00000000-0005-0000-0000-000009000000}"/>
    <cellStyle name="Normal_DN Financial Statements" xfId="3" xr:uid="{00000000-0005-0000-0000-00000A000000}"/>
    <cellStyle name="Percent" xfId="6" builtinId="5"/>
    <cellStyle name="Percent 2" xfId="10" xr:uid="{00000000-0005-0000-0000-00000D000000}"/>
    <cellStyle name="Title 2" xfId="8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Overall</a:t>
            </a:r>
            <a:r>
              <a:rPr lang="en-US" baseline="0"/>
              <a:t> Expenses Trend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791688863606059E-2"/>
          <c:y val="0.13623503865135578"/>
          <c:w val="0.87295947513937766"/>
          <c:h val="0.69453310643063237"/>
        </c:manualLayout>
      </c:layout>
      <c:areaChart>
        <c:grouping val="stacked"/>
        <c:varyColors val="0"/>
        <c:ser>
          <c:idx val="0"/>
          <c:order val="0"/>
          <c:tx>
            <c:strRef>
              <c:f>'Dashboard Data'!$A$27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'Dashboard Data'!$B$26:$M$26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'Dashboard Data'!$B$27:$M$27</c:f>
              <c:numCache>
                <c:formatCode>_(* #,##0_);_(* \(#,##0\);_(* "-"??_);_(@_)</c:formatCode>
                <c:ptCount val="12"/>
                <c:pt idx="0">
                  <c:v>7628</c:v>
                </c:pt>
                <c:pt idx="1">
                  <c:v>8481.01</c:v>
                </c:pt>
                <c:pt idx="2">
                  <c:v>3656.5299999999997</c:v>
                </c:pt>
                <c:pt idx="3">
                  <c:v>4030.06</c:v>
                </c:pt>
                <c:pt idx="4">
                  <c:v>4855.84</c:v>
                </c:pt>
                <c:pt idx="5">
                  <c:v>4045.79</c:v>
                </c:pt>
                <c:pt idx="6">
                  <c:v>7159.4299999999994</c:v>
                </c:pt>
                <c:pt idx="7">
                  <c:v>4901.66</c:v>
                </c:pt>
                <c:pt idx="8">
                  <c:v>2829.54</c:v>
                </c:pt>
                <c:pt idx="9">
                  <c:v>7518.39</c:v>
                </c:pt>
                <c:pt idx="10">
                  <c:v>5651.2499999999991</c:v>
                </c:pt>
                <c:pt idx="11">
                  <c:v>332826.70000000007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1-4EA2-8E31-0FEE7811CAF5}"/>
            </c:ext>
          </c:extLst>
        </c:ser>
        <c:ser>
          <c:idx val="1"/>
          <c:order val="1"/>
          <c:tx>
            <c:strRef>
              <c:f>'Dashboard Data'!$A$28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dLbl>
              <c:idx val="0"/>
              <c:layout>
                <c:manualLayout>
                  <c:x val="-3.8245489667243161E-3"/>
                  <c:y val="-3.6730935198532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31-4EA2-8E31-0FEE7811CAF5}"/>
                </c:ext>
              </c:extLst>
            </c:dLbl>
            <c:dLbl>
              <c:idx val="1"/>
              <c:layout>
                <c:manualLayout>
                  <c:x val="-1.7528980267877254E-17"/>
                  <c:y val="-5.1423309277945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31-4EA2-8E31-0FEE7811CAF5}"/>
                </c:ext>
              </c:extLst>
            </c:dLbl>
            <c:dLbl>
              <c:idx val="2"/>
              <c:layout>
                <c:manualLayout>
                  <c:x val="0"/>
                  <c:y val="-5.1423309277945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31-4EA2-8E31-0FEE7811CA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'Dashboard Data'!$B$26:$M$26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'Dashboard Data'!$B$28:$M$28</c:f>
              <c:numCache>
                <c:formatCode>_(* #,##0_);_(* \(#,##0\);_(* "-"??_);_(@_)</c:formatCode>
                <c:ptCount val="12"/>
                <c:pt idx="0">
                  <c:v>18530.060000000001</c:v>
                </c:pt>
                <c:pt idx="1">
                  <c:v>12382.240000000002</c:v>
                </c:pt>
                <c:pt idx="2">
                  <c:v>16826.87</c:v>
                </c:pt>
                <c:pt idx="3">
                  <c:v>17275.100000000002</c:v>
                </c:pt>
                <c:pt idx="4">
                  <c:v>19233.41</c:v>
                </c:pt>
                <c:pt idx="5">
                  <c:v>19619.95</c:v>
                </c:pt>
                <c:pt idx="6">
                  <c:v>17933.420000000002</c:v>
                </c:pt>
                <c:pt idx="7">
                  <c:v>17833.990000000002</c:v>
                </c:pt>
                <c:pt idx="8">
                  <c:v>16943.280000000002</c:v>
                </c:pt>
                <c:pt idx="9">
                  <c:v>18528.760000000002</c:v>
                </c:pt>
                <c:pt idx="10">
                  <c:v>17607.420000000002</c:v>
                </c:pt>
                <c:pt idx="11">
                  <c:v>23998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1-4EA2-8E31-0FEE7811C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593928"/>
        <c:axId val="538594256"/>
      </c:areaChart>
      <c:catAx>
        <c:axId val="53859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94256"/>
        <c:crossesAt val="0"/>
        <c:auto val="1"/>
        <c:lblAlgn val="ctr"/>
        <c:lblOffset val="100"/>
        <c:noMultiLvlLbl val="0"/>
      </c:catAx>
      <c:valAx>
        <c:axId val="538594256"/>
        <c:scaling>
          <c:orientation val="minMax"/>
          <c:max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8593928"/>
        <c:crosses val="autoZero"/>
        <c:crossBetween val="midCat"/>
        <c:majorUnit val="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326232</xdr:colOff>
      <xdr:row>29</xdr:row>
      <xdr:rowOff>166687</xdr:rowOff>
    </xdr:from>
    <xdr:to>
      <xdr:col>12</xdr:col>
      <xdr:colOff>233363</xdr:colOff>
      <xdr:row>49</xdr:row>
      <xdr:rowOff>4763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BECA6E-8065-4715-8F9A-2F99123CD7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CSTAFF/OSCDOCS/FINSTMTS/P_Z/SBRC537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.dematteo/AppData/Local/Microsoft/Windows/Temporary%20Internet%20Files/Content.IE5/T86JS7KK/Users/denisedevenny/Downloads/YTD%20March%202012-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/Downloads/Users/rachel.dematteo/AppData/Local/Microsoft/Windows/Temporary%20Internet%20Files/Content.IE5/T86JS7KK/Users/denisedevenny/Downloads/YTD%20March%202012-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C-FILE01\Users$\AUDIT%202010\2010%20YPTC%20ESP%20Workpaper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.dematteo/AppData/Local/Microsoft/Windows/Temporary%20Internet%20Files/Content.IE5/T86JS7KK/Reports/YTD/2012/YTD%20February%2020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/Downloads/Users/rachel.dematteo/AppData/Local/Microsoft/Windows/Temporary%20Internet%20Files/Content.IE5/T86JS7KK/Reports/YTD/2012/YTD%20February%20201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ocuments/YPTC/Excel%20Training%20Materials/DramaMama_sample%20company%20reports%20(end%20result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SCSTAFF/OSCDOCS/FINSTMTS/P_Z/SBRC498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C-FILE01\Users$\Users\staff\Downloads\05cccf_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aff/Downloads/05cccf_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roveda1/Documents/YPTC/July%20Credit%20Card%20Reports/Logothetis_July2015_creditcard_rep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roveda1/Library/Application%20Support/Microsoft/Office/Office%202011%20AutoRecovery/20151125%20October%2019%202015%20AmEx%20Statement%20Data%20-%20Matthew%20Swift%20(with%20Roman's%20Edits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1612%20Dec%20Workpaper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-1%20-%20Analytical%20Review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.dematteo/AppData/Local/Microsoft/Windows/Temporary%20Internet%20Files/Content.IE5/T86JS7KK/2012%20budget/2012%20budget-FEB%2017%20revis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l/Downloads/Users/rachel.dematteo/AppData/Local/Microsoft/Windows/Temporary%20Internet%20Files/Content.IE5/T86JS7KK/2012%20budget/2012%20budget-FEB%2017%20rev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Pos2009"/>
      <sheetName val="Act2009"/>
      <sheetName val="Act2008"/>
      <sheetName val="Cashflow2009"/>
      <sheetName val="PRMF Recon"/>
      <sheetName val="Func exp 2009 FINAL"/>
      <sheetName val="Perm Restricted Recon - OLD"/>
      <sheetName val="NOTE 3-DONT PRINT"/>
      <sheetName val="NOTE 4a-DONT PRINT"/>
      <sheetName val="NOTE 4b-DONT PRINT"/>
      <sheetName val="NOTE 5-DONT PRINT"/>
      <sheetName val="NOTE 6-DONT PRINT"/>
      <sheetName val="NOTE 7-DONT PRINT"/>
      <sheetName val="NOTE 8-DONT PRINT"/>
      <sheetName val="FinPos"/>
      <sheetName val="Cashflow"/>
      <sheetName val="Act2007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Quickbooks  Data"/>
      <sheetName val="Summary"/>
      <sheetName val="Proof"/>
      <sheetName val="Expenses YTD"/>
      <sheetName val="Net Assets YTD"/>
      <sheetName val="refresh"/>
      <sheetName val="Balance Sheet YTD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3</v>
          </cell>
        </row>
        <row r="8">
          <cell r="M8" t="str">
            <v>Four Freedoms Center</v>
          </cell>
        </row>
        <row r="9">
          <cell r="M9" t="str">
            <v>Campus Network</v>
          </cell>
        </row>
        <row r="10">
          <cell r="M10" t="str">
            <v>Pipeline</v>
          </cell>
        </row>
        <row r="11">
          <cell r="M11" t="str">
            <v>FDR Library</v>
          </cell>
        </row>
        <row r="12">
          <cell r="M12" t="str">
            <v>FF Awards</v>
          </cell>
        </row>
        <row r="13">
          <cell r="M13" t="str">
            <v>Vanden Heuvel Fund</v>
          </cell>
        </row>
        <row r="14">
          <cell r="M14" t="str">
            <v>Legacy Awards and Events</v>
          </cell>
        </row>
        <row r="15">
          <cell r="M15" t="str">
            <v>FDR Four Freedoms Park</v>
          </cell>
        </row>
        <row r="16">
          <cell r="M16" t="str">
            <v>Fundraising</v>
          </cell>
        </row>
        <row r="17">
          <cell r="M17" t="str">
            <v>DPSA</v>
          </cell>
        </row>
        <row r="18">
          <cell r="M18" t="str">
            <v>Indirect</v>
          </cell>
        </row>
        <row r="19">
          <cell r="M19" t="str">
            <v>5th Floor</v>
          </cell>
        </row>
        <row r="20">
          <cell r="M20" t="str">
            <v>Management and general</v>
          </cell>
        </row>
      </sheetData>
      <sheetData sheetId="4" refreshError="1"/>
      <sheetData sheetId="5" refreshError="1">
        <row r="5">
          <cell r="B5" t="str">
            <v>PERM Emerson Internship</v>
          </cell>
        </row>
        <row r="6">
          <cell r="B6" t="str">
            <v>PERM Greenfield/Weinberg</v>
          </cell>
        </row>
        <row r="7">
          <cell r="B7" t="str">
            <v>PERM Special Exhibits Gallery</v>
          </cell>
        </row>
        <row r="8">
          <cell r="B8" t="str">
            <v>PERM  Rapoport Great Books Project</v>
          </cell>
        </row>
        <row r="14">
          <cell r="B14" t="str">
            <v>FFC Four Freedoms Center</v>
          </cell>
        </row>
        <row r="15">
          <cell r="B15" t="str">
            <v>FFC Project on Global Finance</v>
          </cell>
        </row>
        <row r="16">
          <cell r="B16" t="str">
            <v>FFC Purpose of Government</v>
          </cell>
        </row>
        <row r="17">
          <cell r="B17" t="str">
            <v>FFC Future of Work</v>
          </cell>
        </row>
        <row r="18">
          <cell r="B18" t="str">
            <v>FFC Health Care Reform</v>
          </cell>
        </row>
        <row r="19">
          <cell r="B19" t="str">
            <v>FFC Women Rising</v>
          </cell>
        </row>
        <row r="20">
          <cell r="B20" t="str">
            <v>FFC NAEP</v>
          </cell>
        </row>
        <row r="24">
          <cell r="B24" t="str">
            <v>PL Stoneman</v>
          </cell>
        </row>
        <row r="25">
          <cell r="B25" t="str">
            <v>PL Other Pipeline</v>
          </cell>
        </row>
        <row r="29">
          <cell r="B29" t="str">
            <v>CN Campus Network</v>
          </cell>
        </row>
        <row r="30">
          <cell r="B30" t="str">
            <v>CN Chicago CN</v>
          </cell>
        </row>
        <row r="31">
          <cell r="B31" t="str">
            <v>CN Mc Arthur Think 2040</v>
          </cell>
        </row>
        <row r="32">
          <cell r="B32" t="str">
            <v>CN Think 2040</v>
          </cell>
        </row>
        <row r="33">
          <cell r="B33" t="str">
            <v>CN Academy</v>
          </cell>
        </row>
        <row r="34">
          <cell r="B34" t="str">
            <v>CN Chicago Academy Program</v>
          </cell>
        </row>
        <row r="35">
          <cell r="B35" t="str">
            <v>CN New York Academy</v>
          </cell>
        </row>
        <row r="36">
          <cell r="B36" t="str">
            <v>CN FSP</v>
          </cell>
        </row>
        <row r="41">
          <cell r="B41" t="str">
            <v xml:space="preserve">Library Library &amp; Museum </v>
          </cell>
        </row>
        <row r="42">
          <cell r="B42" t="str">
            <v xml:space="preserve">Library Special Exhibit Gallery - </v>
          </cell>
        </row>
        <row r="43">
          <cell r="B43" t="str">
            <v>Library Beir Education Center</v>
          </cell>
        </row>
        <row r="44">
          <cell r="B44" t="str">
            <v>Library Ross Courtyard</v>
          </cell>
        </row>
        <row r="45">
          <cell r="B45" t="str">
            <v>Library Capital Campaign</v>
          </cell>
        </row>
        <row r="46">
          <cell r="B46" t="str">
            <v>Library Supreme Court Conference</v>
          </cell>
        </row>
        <row r="47">
          <cell r="B47" t="str">
            <v>Library Delano Portrait Restoration</v>
          </cell>
        </row>
        <row r="48">
          <cell r="B48" t="str">
            <v>Library Breakfree</v>
          </cell>
        </row>
        <row r="49">
          <cell r="B49" t="str">
            <v>Library Freedom Court</v>
          </cell>
        </row>
        <row r="50">
          <cell r="B50" t="str">
            <v>Library Lorentz Education Project</v>
          </cell>
        </row>
        <row r="51">
          <cell r="B51" t="str">
            <v>Library Dutchess Room Plaque</v>
          </cell>
        </row>
        <row r="52">
          <cell r="B52" t="str">
            <v>Library Azores Banner Project</v>
          </cell>
        </row>
        <row r="53">
          <cell r="B53" t="str">
            <v>Library Save Americas Treasure Grant</v>
          </cell>
        </row>
        <row r="54">
          <cell r="B54" t="str">
            <v>Library Visible Storage</v>
          </cell>
        </row>
        <row r="58">
          <cell r="B58" t="str">
            <v>Legacy Arthur Ross Fund</v>
          </cell>
        </row>
        <row r="59">
          <cell r="B59" t="str">
            <v>Legacy Presidents Salary (Dyson)</v>
          </cell>
        </row>
        <row r="60">
          <cell r="B60" t="str">
            <v xml:space="preserve">Legacy Conferences </v>
          </cell>
        </row>
        <row r="61">
          <cell r="B61" t="str">
            <v>Legacy Roosevelt Study Center</v>
          </cell>
        </row>
        <row r="62">
          <cell r="B62" t="str">
            <v>Legacy Top Cottage Restoration Fund</v>
          </cell>
        </row>
        <row r="63">
          <cell r="B63" t="str">
            <v>Legacy Top Cottage Furnishings/Books</v>
          </cell>
        </row>
        <row r="64">
          <cell r="B64" t="str">
            <v>Legacy Governors Conferences</v>
          </cell>
        </row>
        <row r="65">
          <cell r="B65" t="str">
            <v>Legacy Other Awards</v>
          </cell>
        </row>
        <row r="66">
          <cell r="B66" t="str">
            <v>Legacy Other Legacy</v>
          </cell>
        </row>
        <row r="67">
          <cell r="B67" t="str">
            <v>Legacy Four Freedoms Awards</v>
          </cell>
        </row>
        <row r="68">
          <cell r="B68" t="str">
            <v xml:space="preserve">Legacy Eichelberger/Linzer Fellowship </v>
          </cell>
        </row>
        <row r="69">
          <cell r="B69" t="str">
            <v>Legacy Morse Fellowship</v>
          </cell>
        </row>
        <row r="70">
          <cell r="B70" t="str">
            <v>Legacy Schlesinger Fellowship (Grants 2 Scholars) acct 63590</v>
          </cell>
        </row>
        <row r="71">
          <cell r="B71" t="str">
            <v>Legacy Schlesinger History Award</v>
          </cell>
        </row>
        <row r="72">
          <cell r="B72" t="str">
            <v>Legacy Beeke-Levy Bequest</v>
          </cell>
        </row>
        <row r="73">
          <cell r="B73" t="str">
            <v>Legacy Rivkin Scholarship</v>
          </cell>
        </row>
        <row r="74">
          <cell r="B74" t="str">
            <v>Legacy Lubin/Winant</v>
          </cell>
        </row>
        <row r="75">
          <cell r="B75" t="str">
            <v>Legacy Moscow Study Center</v>
          </cell>
        </row>
        <row r="76">
          <cell r="B76" t="str">
            <v>Legacy Wallace Lecture</v>
          </cell>
        </row>
        <row r="77">
          <cell r="B77" t="str">
            <v>Legacy Loustau Four Freedoms</v>
          </cell>
        </row>
        <row r="79">
          <cell r="B79" t="str">
            <v>Unrestricted</v>
          </cell>
        </row>
        <row r="80">
          <cell r="B80" t="str">
            <v>TimeRestricted Time Restricted</v>
          </cell>
        </row>
        <row r="84">
          <cell r="B84" t="str">
            <v>5th Floor</v>
          </cell>
        </row>
        <row r="85">
          <cell r="B85" t="str">
            <v>Unrestricted</v>
          </cell>
        </row>
      </sheetData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Quickbooks  Data"/>
      <sheetName val="Summary"/>
      <sheetName val="Proof"/>
      <sheetName val="Expenses YTD"/>
      <sheetName val="Net Assets YTD"/>
      <sheetName val="refresh"/>
      <sheetName val="Balance Sheet YTD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3</v>
          </cell>
        </row>
        <row r="8">
          <cell r="M8" t="str">
            <v>Four Freedoms Center</v>
          </cell>
        </row>
        <row r="9">
          <cell r="M9" t="str">
            <v>Campus Network</v>
          </cell>
        </row>
        <row r="10">
          <cell r="M10" t="str">
            <v>Pipeline</v>
          </cell>
        </row>
        <row r="11">
          <cell r="M11" t="str">
            <v>FDR Library</v>
          </cell>
        </row>
        <row r="12">
          <cell r="M12" t="str">
            <v>FF Awards</v>
          </cell>
        </row>
        <row r="13">
          <cell r="M13" t="str">
            <v>Vanden Heuvel Fund</v>
          </cell>
        </row>
        <row r="14">
          <cell r="M14" t="str">
            <v>Legacy Awards and Events</v>
          </cell>
        </row>
        <row r="15">
          <cell r="M15" t="str">
            <v>FDR Four Freedoms Park</v>
          </cell>
        </row>
        <row r="16">
          <cell r="M16" t="str">
            <v>Fundraising</v>
          </cell>
        </row>
        <row r="17">
          <cell r="M17" t="str">
            <v>DPSA</v>
          </cell>
        </row>
        <row r="18">
          <cell r="M18" t="str">
            <v>Indirect</v>
          </cell>
        </row>
        <row r="19">
          <cell r="M19" t="str">
            <v>5th Floor</v>
          </cell>
        </row>
        <row r="20">
          <cell r="M20" t="str">
            <v>Management and general</v>
          </cell>
        </row>
      </sheetData>
      <sheetData sheetId="4" refreshError="1"/>
      <sheetData sheetId="5" refreshError="1">
        <row r="5">
          <cell r="B5" t="str">
            <v>PERM Emerson Internship</v>
          </cell>
        </row>
        <row r="6">
          <cell r="B6" t="str">
            <v>PERM Greenfield/Weinberg</v>
          </cell>
        </row>
        <row r="7">
          <cell r="B7" t="str">
            <v>PERM Special Exhibits Gallery</v>
          </cell>
        </row>
        <row r="8">
          <cell r="B8" t="str">
            <v>PERM  Rapoport Great Books Project</v>
          </cell>
        </row>
        <row r="14">
          <cell r="B14" t="str">
            <v>FFC Four Freedoms Center</v>
          </cell>
        </row>
        <row r="15">
          <cell r="B15" t="str">
            <v>FFC Project on Global Finance</v>
          </cell>
        </row>
        <row r="16">
          <cell r="B16" t="str">
            <v>FFC Purpose of Government</v>
          </cell>
        </row>
        <row r="17">
          <cell r="B17" t="str">
            <v>FFC Future of Work</v>
          </cell>
        </row>
        <row r="18">
          <cell r="B18" t="str">
            <v>FFC Health Care Reform</v>
          </cell>
        </row>
        <row r="19">
          <cell r="B19" t="str">
            <v>FFC Women Rising</v>
          </cell>
        </row>
        <row r="20">
          <cell r="B20" t="str">
            <v>FFC NAEP</v>
          </cell>
        </row>
        <row r="24">
          <cell r="B24" t="str">
            <v>PL Stoneman</v>
          </cell>
        </row>
        <row r="25">
          <cell r="B25" t="str">
            <v>PL Other Pipeline</v>
          </cell>
        </row>
        <row r="29">
          <cell r="B29" t="str">
            <v>CN Campus Network</v>
          </cell>
        </row>
        <row r="30">
          <cell r="B30" t="str">
            <v>CN Chicago CN</v>
          </cell>
        </row>
        <row r="31">
          <cell r="B31" t="str">
            <v>CN Mc Arthur Think 2040</v>
          </cell>
        </row>
        <row r="32">
          <cell r="B32" t="str">
            <v>CN Think 2040</v>
          </cell>
        </row>
        <row r="33">
          <cell r="B33" t="str">
            <v>CN Academy</v>
          </cell>
        </row>
        <row r="34">
          <cell r="B34" t="str">
            <v>CN Chicago Academy Program</v>
          </cell>
        </row>
        <row r="35">
          <cell r="B35" t="str">
            <v>CN New York Academy</v>
          </cell>
        </row>
        <row r="36">
          <cell r="B36" t="str">
            <v>CN FSP</v>
          </cell>
        </row>
        <row r="41">
          <cell r="B41" t="str">
            <v xml:space="preserve">Library Library &amp; Museum </v>
          </cell>
        </row>
        <row r="42">
          <cell r="B42" t="str">
            <v xml:space="preserve">Library Special Exhibit Gallery - </v>
          </cell>
        </row>
        <row r="43">
          <cell r="B43" t="str">
            <v>Library Beir Education Center</v>
          </cell>
        </row>
        <row r="44">
          <cell r="B44" t="str">
            <v>Library Ross Courtyard</v>
          </cell>
        </row>
        <row r="45">
          <cell r="B45" t="str">
            <v>Library Capital Campaign</v>
          </cell>
        </row>
        <row r="46">
          <cell r="B46" t="str">
            <v>Library Supreme Court Conference</v>
          </cell>
        </row>
        <row r="47">
          <cell r="B47" t="str">
            <v>Library Delano Portrait Restoration</v>
          </cell>
        </row>
        <row r="48">
          <cell r="B48" t="str">
            <v>Library Breakfree</v>
          </cell>
        </row>
        <row r="49">
          <cell r="B49" t="str">
            <v>Library Freedom Court</v>
          </cell>
        </row>
        <row r="50">
          <cell r="B50" t="str">
            <v>Library Lorentz Education Project</v>
          </cell>
        </row>
        <row r="51">
          <cell r="B51" t="str">
            <v>Library Dutchess Room Plaque</v>
          </cell>
        </row>
        <row r="52">
          <cell r="B52" t="str">
            <v>Library Azores Banner Project</v>
          </cell>
        </row>
        <row r="53">
          <cell r="B53" t="str">
            <v>Library Save Americas Treasure Grant</v>
          </cell>
        </row>
        <row r="54">
          <cell r="B54" t="str">
            <v>Library Visible Storage</v>
          </cell>
        </row>
        <row r="58">
          <cell r="B58" t="str">
            <v>Legacy Arthur Ross Fund</v>
          </cell>
        </row>
        <row r="59">
          <cell r="B59" t="str">
            <v>Legacy Presidents Salary (Dyson)</v>
          </cell>
        </row>
        <row r="60">
          <cell r="B60" t="str">
            <v xml:space="preserve">Legacy Conferences </v>
          </cell>
        </row>
        <row r="61">
          <cell r="B61" t="str">
            <v>Legacy Roosevelt Study Center</v>
          </cell>
        </row>
        <row r="62">
          <cell r="B62" t="str">
            <v>Legacy Top Cottage Restoration Fund</v>
          </cell>
        </row>
        <row r="63">
          <cell r="B63" t="str">
            <v>Legacy Top Cottage Furnishings/Books</v>
          </cell>
        </row>
        <row r="64">
          <cell r="B64" t="str">
            <v>Legacy Governors Conferences</v>
          </cell>
        </row>
        <row r="65">
          <cell r="B65" t="str">
            <v>Legacy Other Awards</v>
          </cell>
        </row>
        <row r="66">
          <cell r="B66" t="str">
            <v>Legacy Other Legacy</v>
          </cell>
        </row>
        <row r="67">
          <cell r="B67" t="str">
            <v>Legacy Four Freedoms Awards</v>
          </cell>
        </row>
        <row r="68">
          <cell r="B68" t="str">
            <v xml:space="preserve">Legacy Eichelberger/Linzer Fellowship </v>
          </cell>
        </row>
        <row r="69">
          <cell r="B69" t="str">
            <v>Legacy Morse Fellowship</v>
          </cell>
        </row>
        <row r="70">
          <cell r="B70" t="str">
            <v>Legacy Schlesinger Fellowship (Grants 2 Scholars) acct 63590</v>
          </cell>
        </row>
        <row r="71">
          <cell r="B71" t="str">
            <v>Legacy Schlesinger History Award</v>
          </cell>
        </row>
        <row r="72">
          <cell r="B72" t="str">
            <v>Legacy Beeke-Levy Bequest</v>
          </cell>
        </row>
        <row r="73">
          <cell r="B73" t="str">
            <v>Legacy Rivkin Scholarship</v>
          </cell>
        </row>
        <row r="74">
          <cell r="B74" t="str">
            <v>Legacy Lubin/Winant</v>
          </cell>
        </row>
        <row r="75">
          <cell r="B75" t="str">
            <v>Legacy Moscow Study Center</v>
          </cell>
        </row>
        <row r="76">
          <cell r="B76" t="str">
            <v>Legacy Wallace Lecture</v>
          </cell>
        </row>
        <row r="77">
          <cell r="B77" t="str">
            <v>Legacy Loustau Four Freedoms</v>
          </cell>
        </row>
        <row r="79">
          <cell r="B79" t="str">
            <v>Unrestricted</v>
          </cell>
        </row>
        <row r="80">
          <cell r="B80" t="str">
            <v>TimeRestricted Time Restricted</v>
          </cell>
        </row>
        <row r="84">
          <cell r="B84" t="str">
            <v>5th Floor</v>
          </cell>
        </row>
        <row r="85">
          <cell r="B85" t="str">
            <v>Unrestricted</v>
          </cell>
        </row>
      </sheetData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ec Control"/>
      <sheetName val="Year-End"/>
      <sheetName val="Workpaper List"/>
      <sheetName val="MonthEnd"/>
      <sheetName val="Prepaid 1225"/>
      <sheetName val="Prepaid 1202"/>
      <sheetName val="Till Drawer 1301"/>
      <sheetName val="Deferred 1400"/>
      <sheetName val="Deposits 1800"/>
      <sheetName val="Suspense 1900"/>
      <sheetName val="Accrued 2160"/>
      <sheetName val="Med Ded 2520"/>
      <sheetName val="Loan 2650"/>
      <sheetName val="Loan 2660"/>
      <sheetName val="Sales tax 2700"/>
      <sheetName val="Sweeper schedu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Sweeper Lease Amortization Schedule</v>
          </cell>
        </row>
        <row r="5">
          <cell r="B5" t="str">
            <v>Enter values</v>
          </cell>
          <cell r="F5" t="str">
            <v>Lease Summary</v>
          </cell>
        </row>
        <row r="6">
          <cell r="C6" t="str">
            <v>Loan amount</v>
          </cell>
          <cell r="D6">
            <v>6596</v>
          </cell>
          <cell r="G6" t="str">
            <v>Scheduled payment</v>
          </cell>
          <cell r="H6">
            <v>140.4897778427933</v>
          </cell>
        </row>
        <row r="7">
          <cell r="C7" t="str">
            <v>Annual interest rate</v>
          </cell>
          <cell r="D7">
            <v>0.10106</v>
          </cell>
          <cell r="G7" t="str">
            <v>Scheduled number of payments</v>
          </cell>
          <cell r="H7">
            <v>60</v>
          </cell>
        </row>
        <row r="8">
          <cell r="C8" t="str">
            <v>Loan period in years</v>
          </cell>
          <cell r="D8">
            <v>5</v>
          </cell>
          <cell r="G8" t="str">
            <v>Actual number of payments</v>
          </cell>
          <cell r="H8">
            <v>60</v>
          </cell>
        </row>
        <row r="9">
          <cell r="C9" t="str">
            <v>Number of payments per year</v>
          </cell>
          <cell r="D9">
            <v>12</v>
          </cell>
          <cell r="G9" t="str">
            <v>Total early payments</v>
          </cell>
          <cell r="H9">
            <v>0</v>
          </cell>
        </row>
        <row r="10">
          <cell r="C10" t="str">
            <v>Start date of loan</v>
          </cell>
          <cell r="D10">
            <v>39118</v>
          </cell>
          <cell r="G10" t="str">
            <v>Total interest</v>
          </cell>
          <cell r="H10">
            <v>1833.3866705676774</v>
          </cell>
        </row>
        <row r="11">
          <cell r="C11" t="str">
            <v>Optional extra payments</v>
          </cell>
        </row>
        <row r="13">
          <cell r="B13" t="str">
            <v>Lender name:</v>
          </cell>
          <cell r="C13" t="str">
            <v>Marlin Leasing</v>
          </cell>
        </row>
        <row r="17">
          <cell r="A17" t="str">
            <v>PmtNo.</v>
          </cell>
          <cell r="B17" t="str">
            <v>Payment Date</v>
          </cell>
          <cell r="C17" t="str">
            <v>Beginning Balance</v>
          </cell>
          <cell r="D17" t="str">
            <v>Scheduled Payment</v>
          </cell>
          <cell r="E17" t="str">
            <v>Extra Payment</v>
          </cell>
          <cell r="F17" t="str">
            <v>Total Payment</v>
          </cell>
          <cell r="G17" t="str">
            <v>Principal</v>
          </cell>
          <cell r="H17" t="str">
            <v>Interest</v>
          </cell>
          <cell r="I17" t="str">
            <v>Ending Balance</v>
          </cell>
          <cell r="J17" t="str">
            <v>Cumulative Interest</v>
          </cell>
        </row>
        <row r="19">
          <cell r="A19">
            <v>1</v>
          </cell>
          <cell r="B19">
            <v>39146</v>
          </cell>
          <cell r="C19">
            <v>6596</v>
          </cell>
          <cell r="D19">
            <v>140.4897778427933</v>
          </cell>
          <cell r="E19">
            <v>0</v>
          </cell>
          <cell r="F19">
            <v>140.4897778427933</v>
          </cell>
          <cell r="G19">
            <v>84.940464509459972</v>
          </cell>
          <cell r="H19">
            <v>55.54931333333333</v>
          </cell>
          <cell r="I19">
            <v>6511.0595354905399</v>
          </cell>
          <cell r="J19">
            <v>55.54931333333333</v>
          </cell>
        </row>
        <row r="20">
          <cell r="A20">
            <v>2</v>
          </cell>
          <cell r="B20">
            <v>39177</v>
          </cell>
          <cell r="C20">
            <v>6511.0595354905399</v>
          </cell>
          <cell r="D20">
            <v>140.4897778427933</v>
          </cell>
          <cell r="E20">
            <v>0</v>
          </cell>
          <cell r="F20">
            <v>140.4897778427933</v>
          </cell>
          <cell r="G20">
            <v>85.655804788070469</v>
          </cell>
          <cell r="H20">
            <v>54.833973054722833</v>
          </cell>
          <cell r="I20">
            <v>6425.4037307024691</v>
          </cell>
          <cell r="J20">
            <v>110.38328638805616</v>
          </cell>
        </row>
        <row r="21">
          <cell r="A21">
            <v>3</v>
          </cell>
          <cell r="B21">
            <v>39207</v>
          </cell>
          <cell r="C21">
            <v>6425.4037307024691</v>
          </cell>
          <cell r="D21">
            <v>140.4897778427933</v>
          </cell>
          <cell r="E21">
            <v>0</v>
          </cell>
          <cell r="F21">
            <v>140.4897778427933</v>
          </cell>
          <cell r="G21">
            <v>86.377169424060668</v>
          </cell>
          <cell r="H21">
            <v>54.112608418732627</v>
          </cell>
          <cell r="I21">
            <v>6339.0265612784087</v>
          </cell>
          <cell r="J21">
            <v>164.49589480678878</v>
          </cell>
        </row>
        <row r="22">
          <cell r="A22">
            <v>4</v>
          </cell>
          <cell r="B22">
            <v>39238</v>
          </cell>
          <cell r="C22">
            <v>6339.0265612784087</v>
          </cell>
          <cell r="D22">
            <v>140.4897778427933</v>
          </cell>
          <cell r="E22">
            <v>0</v>
          </cell>
          <cell r="F22">
            <v>140.4897778427933</v>
          </cell>
          <cell r="G22">
            <v>87.1046091525603</v>
          </cell>
          <cell r="H22">
            <v>53.385168690233002</v>
          </cell>
          <cell r="I22">
            <v>6251.9219521258483</v>
          </cell>
          <cell r="J22">
            <v>217.88106349702178</v>
          </cell>
        </row>
        <row r="23">
          <cell r="A23">
            <v>5</v>
          </cell>
          <cell r="B23">
            <v>39268</v>
          </cell>
          <cell r="C23">
            <v>6251.9219521258483</v>
          </cell>
          <cell r="D23">
            <v>140.4897778427933</v>
          </cell>
          <cell r="E23">
            <v>0</v>
          </cell>
          <cell r="F23">
            <v>140.4897778427933</v>
          </cell>
          <cell r="G23">
            <v>87.838175135973444</v>
          </cell>
          <cell r="H23">
            <v>52.651602706819851</v>
          </cell>
          <cell r="I23">
            <v>6164.0837769898744</v>
          </cell>
          <cell r="J23">
            <v>270.53266620384164</v>
          </cell>
        </row>
        <row r="24">
          <cell r="A24">
            <v>6</v>
          </cell>
          <cell r="B24">
            <v>39299</v>
          </cell>
          <cell r="C24">
            <v>6164.0837769898744</v>
          </cell>
          <cell r="D24">
            <v>140.4897778427933</v>
          </cell>
          <cell r="E24">
            <v>0</v>
          </cell>
          <cell r="F24">
            <v>140.4897778427933</v>
          </cell>
          <cell r="G24">
            <v>88.57791896757692</v>
          </cell>
          <cell r="H24">
            <v>51.911858875216389</v>
          </cell>
          <cell r="I24">
            <v>6075.5058580222976</v>
          </cell>
          <cell r="J24">
            <v>322.44452507905805</v>
          </cell>
        </row>
        <row r="25">
          <cell r="A25">
            <v>7</v>
          </cell>
          <cell r="B25">
            <v>39330</v>
          </cell>
          <cell r="C25">
            <v>6075.5058580222976</v>
          </cell>
          <cell r="D25">
            <v>140.4897778427933</v>
          </cell>
          <cell r="E25">
            <v>0</v>
          </cell>
          <cell r="F25">
            <v>140.4897778427933</v>
          </cell>
          <cell r="G25">
            <v>89.323892675148841</v>
          </cell>
          <cell r="H25">
            <v>51.165885167644454</v>
          </cell>
          <cell r="I25">
            <v>5986.1819653471484</v>
          </cell>
          <cell r="J25">
            <v>373.61041024670249</v>
          </cell>
        </row>
        <row r="26">
          <cell r="A26">
            <v>8</v>
          </cell>
          <cell r="B26">
            <v>39360</v>
          </cell>
          <cell r="C26">
            <v>5986.1819653471484</v>
          </cell>
          <cell r="D26">
            <v>140.4897778427933</v>
          </cell>
          <cell r="E26">
            <v>0</v>
          </cell>
          <cell r="F26">
            <v>140.4897778427933</v>
          </cell>
          <cell r="G26">
            <v>90.076148724628069</v>
          </cell>
          <cell r="H26">
            <v>50.413629118165233</v>
          </cell>
          <cell r="I26">
            <v>5896.1058166225203</v>
          </cell>
          <cell r="J26">
            <v>424.02403936486769</v>
          </cell>
        </row>
        <row r="27">
          <cell r="A27">
            <v>9</v>
          </cell>
          <cell r="B27">
            <v>39391</v>
          </cell>
          <cell r="C27">
            <v>5896.1058166225203</v>
          </cell>
          <cell r="D27">
            <v>140.4897778427933</v>
          </cell>
          <cell r="E27">
            <v>0</v>
          </cell>
          <cell r="F27">
            <v>140.4897778427933</v>
          </cell>
          <cell r="G27">
            <v>90.834740023803988</v>
          </cell>
          <cell r="H27">
            <v>49.655037818989321</v>
          </cell>
          <cell r="I27">
            <v>5805.2710765987158</v>
          </cell>
          <cell r="J27">
            <v>473.67907718385703</v>
          </cell>
        </row>
        <row r="28">
          <cell r="A28">
            <v>10</v>
          </cell>
          <cell r="B28">
            <v>39421</v>
          </cell>
          <cell r="C28">
            <v>5805.2710765987158</v>
          </cell>
          <cell r="D28">
            <v>140.4897778427933</v>
          </cell>
          <cell r="E28">
            <v>0</v>
          </cell>
          <cell r="F28">
            <v>140.4897778427933</v>
          </cell>
          <cell r="G28">
            <v>91.599719926037778</v>
          </cell>
          <cell r="H28">
            <v>48.890057916755516</v>
          </cell>
          <cell r="I28">
            <v>5713.6713566726776</v>
          </cell>
          <cell r="J28">
            <v>522.56913510061258</v>
          </cell>
        </row>
        <row r="29">
          <cell r="A29">
            <v>11</v>
          </cell>
          <cell r="B29">
            <v>39452</v>
          </cell>
          <cell r="C29">
            <v>5713.6713566726776</v>
          </cell>
          <cell r="D29">
            <v>140.4897778427933</v>
          </cell>
          <cell r="E29">
            <v>0</v>
          </cell>
          <cell r="F29">
            <v>140.4897778427933</v>
          </cell>
          <cell r="G29">
            <v>92.371142234014911</v>
          </cell>
          <cell r="H29">
            <v>48.118635608778398</v>
          </cell>
          <cell r="I29">
            <v>5621.3002144386628</v>
          </cell>
          <cell r="J29">
            <v>570.68777070939097</v>
          </cell>
        </row>
        <row r="30">
          <cell r="A30">
            <v>12</v>
          </cell>
          <cell r="B30">
            <v>39483</v>
          </cell>
          <cell r="C30">
            <v>5621.3002144386628</v>
          </cell>
          <cell r="D30">
            <v>140.4897778427933</v>
          </cell>
          <cell r="E30">
            <v>0</v>
          </cell>
          <cell r="F30">
            <v>140.4897778427933</v>
          </cell>
          <cell r="G30">
            <v>93.149061203529044</v>
          </cell>
          <cell r="H30">
            <v>47.340716639264265</v>
          </cell>
          <cell r="I30">
            <v>5528.1511532351342</v>
          </cell>
          <cell r="J30">
            <v>618.02848734865529</v>
          </cell>
        </row>
        <row r="31">
          <cell r="A31">
            <v>13</v>
          </cell>
          <cell r="B31">
            <v>39512</v>
          </cell>
          <cell r="C31">
            <v>5528.1511532351342</v>
          </cell>
          <cell r="D31">
            <v>140.4897778427933</v>
          </cell>
          <cell r="E31">
            <v>0</v>
          </cell>
          <cell r="F31">
            <v>140.4897778427933</v>
          </cell>
          <cell r="G31">
            <v>93.933531547298088</v>
          </cell>
          <cell r="H31">
            <v>46.556246295495221</v>
          </cell>
          <cell r="I31">
            <v>5434.2176216878361</v>
          </cell>
          <cell r="J31">
            <v>664.58473364415056</v>
          </cell>
        </row>
        <row r="32">
          <cell r="A32">
            <v>14</v>
          </cell>
          <cell r="B32">
            <v>39543</v>
          </cell>
          <cell r="C32">
            <v>5434.2176216878361</v>
          </cell>
          <cell r="D32">
            <v>140.4897778427933</v>
          </cell>
          <cell r="E32">
            <v>0</v>
          </cell>
          <cell r="F32">
            <v>140.4897778427933</v>
          </cell>
          <cell r="G32">
            <v>94.724608438812254</v>
          </cell>
          <cell r="H32">
            <v>45.765169403981055</v>
          </cell>
          <cell r="I32">
            <v>5339.4930132490235</v>
          </cell>
          <cell r="J32">
            <v>710.34990304813164</v>
          </cell>
        </row>
        <row r="33">
          <cell r="A33">
            <v>15</v>
          </cell>
          <cell r="B33">
            <v>39573</v>
          </cell>
          <cell r="C33">
            <v>5339.4930132490235</v>
          </cell>
          <cell r="D33">
            <v>140.4897778427933</v>
          </cell>
          <cell r="E33">
            <v>0</v>
          </cell>
          <cell r="F33">
            <v>140.4897778427933</v>
          </cell>
          <cell r="G33">
            <v>95.522347516214438</v>
          </cell>
          <cell r="H33">
            <v>44.967430326578857</v>
          </cell>
          <cell r="I33">
            <v>5243.9706657328088</v>
          </cell>
          <cell r="J33">
            <v>755.31733337471053</v>
          </cell>
        </row>
        <row r="34">
          <cell r="A34">
            <v>16</v>
          </cell>
          <cell r="B34">
            <v>39604</v>
          </cell>
          <cell r="C34">
            <v>5243.9706657328088</v>
          </cell>
          <cell r="D34">
            <v>140.4897778427933</v>
          </cell>
          <cell r="E34">
            <v>0</v>
          </cell>
          <cell r="F34">
            <v>140.4897778427933</v>
          </cell>
          <cell r="G34">
            <v>96.326804886213495</v>
          </cell>
          <cell r="H34">
            <v>44.162972956579807</v>
          </cell>
          <cell r="I34">
            <v>5147.6438608465951</v>
          </cell>
          <cell r="J34">
            <v>799.48030633129031</v>
          </cell>
        </row>
        <row r="35">
          <cell r="A35">
            <v>17</v>
          </cell>
          <cell r="B35">
            <v>39634</v>
          </cell>
          <cell r="C35">
            <v>5147.6438608465951</v>
          </cell>
          <cell r="D35">
            <v>140.4897778427933</v>
          </cell>
          <cell r="E35">
            <v>0</v>
          </cell>
          <cell r="F35">
            <v>140.4897778427933</v>
          </cell>
          <cell r="G35">
            <v>97.13803712803022</v>
          </cell>
          <cell r="H35">
            <v>43.351740714763075</v>
          </cell>
          <cell r="I35">
            <v>5050.5058237185649</v>
          </cell>
          <cell r="J35">
            <v>842.83204704605339</v>
          </cell>
        </row>
        <row r="36">
          <cell r="A36">
            <v>18</v>
          </cell>
          <cell r="B36">
            <v>39665</v>
          </cell>
          <cell r="C36">
            <v>5050.5058237185649</v>
          </cell>
          <cell r="D36">
            <v>140.4897778427933</v>
          </cell>
          <cell r="E36">
            <v>0</v>
          </cell>
          <cell r="F36">
            <v>140.4897778427933</v>
          </cell>
          <cell r="G36">
            <v>97.95610129737679</v>
          </cell>
          <cell r="H36">
            <v>42.533676545416512</v>
          </cell>
          <cell r="I36">
            <v>4952.5497224211886</v>
          </cell>
          <cell r="J36">
            <v>885.36572359146987</v>
          </cell>
        </row>
        <row r="37">
          <cell r="A37">
            <v>19</v>
          </cell>
          <cell r="B37">
            <v>39696</v>
          </cell>
          <cell r="C37">
            <v>4952.5497224211886</v>
          </cell>
          <cell r="D37">
            <v>140.4897778427933</v>
          </cell>
          <cell r="E37">
            <v>0</v>
          </cell>
          <cell r="F37">
            <v>140.4897778427933</v>
          </cell>
          <cell r="G37">
            <v>98.781054930469537</v>
          </cell>
          <cell r="H37">
            <v>41.708722912323772</v>
          </cell>
          <cell r="I37">
            <v>4853.7686674907191</v>
          </cell>
          <cell r="J37">
            <v>927.07444650379364</v>
          </cell>
        </row>
        <row r="38">
          <cell r="A38">
            <v>20</v>
          </cell>
          <cell r="B38">
            <v>39726</v>
          </cell>
          <cell r="C38">
            <v>4853.7686674907191</v>
          </cell>
          <cell r="D38">
            <v>140.4897778427933</v>
          </cell>
          <cell r="E38">
            <v>0</v>
          </cell>
          <cell r="F38">
            <v>140.4897778427933</v>
          </cell>
          <cell r="G38">
            <v>99.612956048075631</v>
          </cell>
          <cell r="H38">
            <v>40.876821794717671</v>
          </cell>
          <cell r="I38">
            <v>4754.1557114426432</v>
          </cell>
          <cell r="J38">
            <v>967.95126829851131</v>
          </cell>
        </row>
        <row r="39">
          <cell r="A39">
            <v>21</v>
          </cell>
          <cell r="B39">
            <v>39757</v>
          </cell>
          <cell r="C39">
            <v>4754.1557114426432</v>
          </cell>
          <cell r="D39">
            <v>140.4897778427933</v>
          </cell>
          <cell r="E39">
            <v>0</v>
          </cell>
          <cell r="F39">
            <v>140.4897778427933</v>
          </cell>
          <cell r="G39">
            <v>100.45186315959384</v>
          </cell>
          <cell r="H39">
            <v>40.03791468319946</v>
          </cell>
          <cell r="I39">
            <v>4653.7038482830494</v>
          </cell>
          <cell r="J39">
            <v>1007.9891829817108</v>
          </cell>
        </row>
        <row r="40">
          <cell r="A40">
            <v>22</v>
          </cell>
          <cell r="B40">
            <v>39787</v>
          </cell>
          <cell r="C40">
            <v>4653.7038482830494</v>
          </cell>
          <cell r="D40">
            <v>140.4897778427933</v>
          </cell>
          <cell r="E40">
            <v>0</v>
          </cell>
          <cell r="F40">
            <v>140.4897778427933</v>
          </cell>
          <cell r="G40">
            <v>101.29783526716955</v>
          </cell>
          <cell r="H40">
            <v>39.191942575623749</v>
          </cell>
          <cell r="I40">
            <v>4552.4060130158796</v>
          </cell>
          <cell r="J40">
            <v>1047.1811255573346</v>
          </cell>
        </row>
        <row r="41">
          <cell r="A41">
            <v>23</v>
          </cell>
          <cell r="B41">
            <v>39818</v>
          </cell>
          <cell r="C41">
            <v>4552.4060130158796</v>
          </cell>
          <cell r="D41">
            <v>140.4897778427933</v>
          </cell>
          <cell r="E41">
            <v>0</v>
          </cell>
          <cell r="F41">
            <v>140.4897778427933</v>
          </cell>
          <cell r="G41">
            <v>102.15093186984457</v>
          </cell>
          <cell r="H41">
            <v>38.338845972948732</v>
          </cell>
          <cell r="I41">
            <v>4450.2550811460351</v>
          </cell>
          <cell r="J41">
            <v>1085.5199715302833</v>
          </cell>
        </row>
        <row r="42">
          <cell r="A42">
            <v>24</v>
          </cell>
          <cell r="B42">
            <v>39849</v>
          </cell>
          <cell r="C42">
            <v>4450.2550811460351</v>
          </cell>
          <cell r="D42">
            <v>140.4897778427933</v>
          </cell>
          <cell r="E42">
            <v>0</v>
          </cell>
          <cell r="F42">
            <v>140.4897778427933</v>
          </cell>
          <cell r="G42">
            <v>103.01121296774178</v>
          </cell>
          <cell r="H42">
            <v>37.478564875051525</v>
          </cell>
          <cell r="I42">
            <v>4347.2438681782933</v>
          </cell>
          <cell r="J42">
            <v>1122.9985364053348</v>
          </cell>
        </row>
        <row r="43">
          <cell r="A43">
            <v>25</v>
          </cell>
          <cell r="B43">
            <v>39877</v>
          </cell>
          <cell r="C43">
            <v>4347.2438681782933</v>
          </cell>
          <cell r="D43">
            <v>140.4897778427933</v>
          </cell>
          <cell r="E43">
            <v>0</v>
          </cell>
          <cell r="F43">
            <v>140.4897778427933</v>
          </cell>
          <cell r="G43">
            <v>103.87873906628511</v>
          </cell>
          <cell r="H43">
            <v>36.611038776508188</v>
          </cell>
          <cell r="I43">
            <v>4243.3651291120077</v>
          </cell>
          <cell r="J43">
            <v>1159.609575181843</v>
          </cell>
        </row>
        <row r="44">
          <cell r="A44">
            <v>26</v>
          </cell>
          <cell r="B44">
            <v>39908</v>
          </cell>
          <cell r="C44">
            <v>4243.3651291120077</v>
          </cell>
          <cell r="D44">
            <v>140.4897778427933</v>
          </cell>
          <cell r="E44">
            <v>0</v>
          </cell>
          <cell r="F44">
            <v>140.4897778427933</v>
          </cell>
          <cell r="G44">
            <v>104.75357118045501</v>
          </cell>
          <cell r="H44">
            <v>35.73620666233829</v>
          </cell>
          <cell r="I44">
            <v>4138.6115579315529</v>
          </cell>
          <cell r="J44">
            <v>1195.3457818441811</v>
          </cell>
        </row>
        <row r="45">
          <cell r="A45">
            <v>27</v>
          </cell>
          <cell r="B45">
            <v>39938</v>
          </cell>
          <cell r="C45">
            <v>4138.6115579315529</v>
          </cell>
          <cell r="D45">
            <v>140.4897778427933</v>
          </cell>
          <cell r="E45">
            <v>0</v>
          </cell>
          <cell r="F45">
            <v>140.4897778427933</v>
          </cell>
          <cell r="G45">
            <v>105.63577083907974</v>
          </cell>
          <cell r="H45">
            <v>34.854007003713562</v>
          </cell>
          <cell r="I45">
            <v>4032.9757870924732</v>
          </cell>
          <cell r="J45">
            <v>1230.1997888478948</v>
          </cell>
        </row>
        <row r="46">
          <cell r="A46">
            <v>28</v>
          </cell>
          <cell r="B46">
            <v>39969</v>
          </cell>
          <cell r="C46">
            <v>4032.9757870924732</v>
          </cell>
          <cell r="D46">
            <v>140.4897778427933</v>
          </cell>
          <cell r="E46">
            <v>0</v>
          </cell>
          <cell r="F46">
            <v>140.4897778427933</v>
          </cell>
          <cell r="G46">
            <v>106.52540008916286</v>
          </cell>
          <cell r="H46">
            <v>33.964377753630444</v>
          </cell>
          <cell r="I46">
            <v>3926.4503870033104</v>
          </cell>
          <cell r="J46">
            <v>1264.1641666015253</v>
          </cell>
        </row>
        <row r="47">
          <cell r="A47">
            <v>29</v>
          </cell>
          <cell r="B47">
            <v>39999</v>
          </cell>
          <cell r="C47">
            <v>3926.4503870033104</v>
          </cell>
          <cell r="D47">
            <v>140.4897778427933</v>
          </cell>
          <cell r="E47">
            <v>0</v>
          </cell>
          <cell r="F47">
            <v>140.4897778427933</v>
          </cell>
          <cell r="G47">
            <v>107.42252150024709</v>
          </cell>
          <cell r="H47">
            <v>33.067256342546209</v>
          </cell>
          <cell r="I47">
            <v>3819.0278655030634</v>
          </cell>
          <cell r="J47">
            <v>1297.2314229440715</v>
          </cell>
        </row>
        <row r="48">
          <cell r="A48">
            <v>30</v>
          </cell>
          <cell r="B48">
            <v>40030</v>
          </cell>
          <cell r="C48">
            <v>3819.0278655030634</v>
          </cell>
          <cell r="D48">
            <v>140.4897778427933</v>
          </cell>
          <cell r="E48">
            <v>0</v>
          </cell>
          <cell r="F48">
            <v>140.4897778427933</v>
          </cell>
          <cell r="G48">
            <v>108.327198168815</v>
          </cell>
          <cell r="H48">
            <v>32.1625796739783</v>
          </cell>
          <cell r="I48">
            <v>3710.7006673342485</v>
          </cell>
          <cell r="J48">
            <v>1329.3940026180499</v>
          </cell>
        </row>
        <row r="49">
          <cell r="A49">
            <v>31</v>
          </cell>
          <cell r="B49">
            <v>40061</v>
          </cell>
          <cell r="C49">
            <v>3710.7006673342485</v>
          </cell>
          <cell r="D49">
            <v>140.4897778427933</v>
          </cell>
          <cell r="E49">
            <v>0</v>
          </cell>
          <cell r="F49">
            <v>140.4897778427933</v>
          </cell>
          <cell r="G49">
            <v>109.23949372272671</v>
          </cell>
          <cell r="H49">
            <v>31.250284120066596</v>
          </cell>
          <cell r="I49">
            <v>3601.4611736115216</v>
          </cell>
          <cell r="J49">
            <v>1360.6442867381165</v>
          </cell>
        </row>
        <row r="50">
          <cell r="A50">
            <v>32</v>
          </cell>
          <cell r="B50">
            <v>40091</v>
          </cell>
          <cell r="C50">
            <v>3601.4611736115216</v>
          </cell>
          <cell r="D50">
            <v>140.4897778427933</v>
          </cell>
          <cell r="E50">
            <v>0</v>
          </cell>
          <cell r="F50">
            <v>140.4897778427933</v>
          </cell>
          <cell r="G50">
            <v>110.15947232569494</v>
          </cell>
          <cell r="H50">
            <v>30.330305517098363</v>
          </cell>
          <cell r="I50">
            <v>3491.3017012858268</v>
          </cell>
          <cell r="J50">
            <v>1390.9745922552149</v>
          </cell>
        </row>
        <row r="51">
          <cell r="A51">
            <v>33</v>
          </cell>
          <cell r="B51">
            <v>40122</v>
          </cell>
          <cell r="C51">
            <v>3491.3017012858268</v>
          </cell>
          <cell r="D51">
            <v>140.4897778427933</v>
          </cell>
          <cell r="E51">
            <v>0</v>
          </cell>
          <cell r="F51">
            <v>140.4897778427933</v>
          </cell>
          <cell r="G51">
            <v>111.08719868179783</v>
          </cell>
          <cell r="H51">
            <v>29.402579160995472</v>
          </cell>
          <cell r="I51">
            <v>3380.2145026040289</v>
          </cell>
          <cell r="J51">
            <v>1420.3771714162103</v>
          </cell>
        </row>
        <row r="52">
          <cell r="A52">
            <v>34</v>
          </cell>
          <cell r="B52">
            <v>40152</v>
          </cell>
          <cell r="C52">
            <v>3380.2145026040289</v>
          </cell>
          <cell r="D52">
            <v>140.4897778427933</v>
          </cell>
          <cell r="E52">
            <v>0</v>
          </cell>
          <cell r="F52">
            <v>140.4897778427933</v>
          </cell>
          <cell r="G52">
            <v>112.02273804002971</v>
          </cell>
          <cell r="H52">
            <v>28.467039802763594</v>
          </cell>
          <cell r="I52">
            <v>3268.1917645639992</v>
          </cell>
          <cell r="J52">
            <v>1448.8442112189739</v>
          </cell>
        </row>
        <row r="53">
          <cell r="A53">
            <v>35</v>
          </cell>
          <cell r="B53">
            <v>40183</v>
          </cell>
          <cell r="C53">
            <v>3268.1917645639992</v>
          </cell>
          <cell r="D53">
            <v>140.4897778427933</v>
          </cell>
          <cell r="E53">
            <v>0</v>
          </cell>
          <cell r="F53">
            <v>140.4897778427933</v>
          </cell>
          <cell r="G53">
            <v>112.96615619889016</v>
          </cell>
          <cell r="H53">
            <v>27.523621643903144</v>
          </cell>
          <cell r="I53">
            <v>3155.2256083651091</v>
          </cell>
          <cell r="J53">
            <v>1476.3678328628771</v>
          </cell>
        </row>
        <row r="54">
          <cell r="A54">
            <v>36</v>
          </cell>
          <cell r="B54">
            <v>40214</v>
          </cell>
          <cell r="C54">
            <v>3155.2256083651091</v>
          </cell>
          <cell r="D54">
            <v>140.4897778427933</v>
          </cell>
          <cell r="E54">
            <v>0</v>
          </cell>
          <cell r="F54">
            <v>140.4897778427933</v>
          </cell>
          <cell r="G54">
            <v>113.9175195110118</v>
          </cell>
          <cell r="H54">
            <v>26.572258331781494</v>
          </cell>
          <cell r="I54">
            <v>3041.3080888540972</v>
          </cell>
          <cell r="J54">
            <v>1502.9400911946586</v>
          </cell>
        </row>
        <row r="55">
          <cell r="A55">
            <v>37</v>
          </cell>
          <cell r="B55">
            <v>40242</v>
          </cell>
          <cell r="C55">
            <v>3041.3080888540972</v>
          </cell>
          <cell r="D55">
            <v>140.4897778427933</v>
          </cell>
          <cell r="E55">
            <v>0</v>
          </cell>
          <cell r="F55">
            <v>140.4897778427933</v>
          </cell>
          <cell r="G55">
            <v>114.87689488782705</v>
          </cell>
          <cell r="H55">
            <v>25.612882954966253</v>
          </cell>
          <cell r="I55">
            <v>2926.4311939662703</v>
          </cell>
          <cell r="J55">
            <v>1528.5529741496248</v>
          </cell>
        </row>
        <row r="56">
          <cell r="A56">
            <v>38</v>
          </cell>
          <cell r="B56">
            <v>40273</v>
          </cell>
          <cell r="C56">
            <v>2926.4311939662703</v>
          </cell>
          <cell r="D56">
            <v>140.4897778427933</v>
          </cell>
          <cell r="E56">
            <v>0</v>
          </cell>
          <cell r="F56">
            <v>140.4897778427933</v>
          </cell>
          <cell r="G56">
            <v>115.84434980427403</v>
          </cell>
          <cell r="H56">
            <v>24.64542803851927</v>
          </cell>
          <cell r="I56">
            <v>2810.5868441619964</v>
          </cell>
          <cell r="J56">
            <v>1553.198402188144</v>
          </cell>
        </row>
        <row r="57">
          <cell r="A57">
            <v>39</v>
          </cell>
          <cell r="B57">
            <v>40303</v>
          </cell>
          <cell r="C57">
            <v>2810.5868441619964</v>
          </cell>
          <cell r="D57">
            <v>140.4897778427933</v>
          </cell>
          <cell r="E57">
            <v>0</v>
          </cell>
          <cell r="F57">
            <v>140.4897778427933</v>
          </cell>
          <cell r="G57">
            <v>116.81995230354235</v>
          </cell>
          <cell r="H57">
            <v>23.669825539250947</v>
          </cell>
          <cell r="I57">
            <v>2693.7668918584541</v>
          </cell>
          <cell r="J57">
            <v>1576.8682277273949</v>
          </cell>
        </row>
        <row r="58">
          <cell r="A58">
            <v>40</v>
          </cell>
          <cell r="B58">
            <v>40334</v>
          </cell>
          <cell r="C58">
            <v>2693.7668918584541</v>
          </cell>
          <cell r="D58">
            <v>140.4897778427933</v>
          </cell>
          <cell r="E58">
            <v>0</v>
          </cell>
          <cell r="F58">
            <v>140.4897778427933</v>
          </cell>
          <cell r="G58">
            <v>117.80377100185869</v>
          </cell>
          <cell r="H58">
            <v>22.686006840934613</v>
          </cell>
          <cell r="I58">
            <v>2575.9631208565952</v>
          </cell>
          <cell r="J58">
            <v>1599.5542345683295</v>
          </cell>
        </row>
        <row r="59">
          <cell r="A59">
            <v>41</v>
          </cell>
          <cell r="B59">
            <v>40364</v>
          </cell>
          <cell r="C59">
            <v>2575.9631208565952</v>
          </cell>
          <cell r="D59">
            <v>140.4897778427933</v>
          </cell>
          <cell r="E59">
            <v>0</v>
          </cell>
          <cell r="F59">
            <v>140.4897778427933</v>
          </cell>
          <cell r="G59">
            <v>118.79587509331267</v>
          </cell>
          <cell r="H59">
            <v>21.693902749480625</v>
          </cell>
          <cell r="I59">
            <v>2457.1672457632826</v>
          </cell>
          <cell r="J59">
            <v>1621.2481373178102</v>
          </cell>
        </row>
        <row r="60">
          <cell r="A60">
            <v>42</v>
          </cell>
          <cell r="B60">
            <v>40395</v>
          </cell>
          <cell r="C60">
            <v>2457.1672457632826</v>
          </cell>
          <cell r="D60">
            <v>140.4897778427933</v>
          </cell>
          <cell r="E60">
            <v>0</v>
          </cell>
          <cell r="F60">
            <v>140.4897778427933</v>
          </cell>
          <cell r="G60">
            <v>119.79633435472353</v>
          </cell>
          <cell r="H60">
            <v>20.693443488069779</v>
          </cell>
          <cell r="I60">
            <v>2337.3709114085591</v>
          </cell>
          <cell r="J60">
            <v>1641.94158080588</v>
          </cell>
        </row>
        <row r="61">
          <cell r="A61">
            <v>43</v>
          </cell>
          <cell r="B61">
            <v>40426</v>
          </cell>
          <cell r="C61">
            <v>2337.3709114085591</v>
          </cell>
          <cell r="D61">
            <v>140.4897778427933</v>
          </cell>
          <cell r="E61">
            <v>0</v>
          </cell>
          <cell r="F61">
            <v>140.4897778427933</v>
          </cell>
          <cell r="G61">
            <v>120.80521915054756</v>
          </cell>
          <cell r="H61">
            <v>19.684558692245748</v>
          </cell>
          <cell r="I61">
            <v>2216.5656922580115</v>
          </cell>
          <cell r="J61">
            <v>1661.6261394981257</v>
          </cell>
        </row>
        <row r="62">
          <cell r="A62">
            <v>44</v>
          </cell>
          <cell r="B62">
            <v>40456</v>
          </cell>
          <cell r="C62">
            <v>2216.5656922580115</v>
          </cell>
          <cell r="D62">
            <v>140.4897778427933</v>
          </cell>
          <cell r="E62">
            <v>0</v>
          </cell>
          <cell r="F62">
            <v>140.4897778427933</v>
          </cell>
          <cell r="G62">
            <v>121.82260043782708</v>
          </cell>
          <cell r="H62">
            <v>18.667177404966221</v>
          </cell>
          <cell r="I62">
            <v>2094.7430918201844</v>
          </cell>
          <cell r="J62">
            <v>1680.2933169030919</v>
          </cell>
        </row>
        <row r="63">
          <cell r="A63">
            <v>45</v>
          </cell>
          <cell r="B63">
            <v>40487</v>
          </cell>
          <cell r="C63">
            <v>2094.7430918201844</v>
          </cell>
          <cell r="D63">
            <v>140.4897778427933</v>
          </cell>
          <cell r="E63">
            <v>0</v>
          </cell>
          <cell r="F63">
            <v>140.4897778427933</v>
          </cell>
          <cell r="G63">
            <v>122.84854977118098</v>
          </cell>
          <cell r="H63">
            <v>17.641228071612321</v>
          </cell>
          <cell r="I63">
            <v>1971.8945420490033</v>
          </cell>
          <cell r="J63">
            <v>1697.9345449747043</v>
          </cell>
        </row>
        <row r="64">
          <cell r="A64">
            <v>46</v>
          </cell>
          <cell r="B64">
            <v>40517</v>
          </cell>
          <cell r="C64">
            <v>1971.8945420490033</v>
          </cell>
          <cell r="D64">
            <v>140.4897778427933</v>
          </cell>
          <cell r="E64">
            <v>0</v>
          </cell>
          <cell r="F64">
            <v>140.4897778427933</v>
          </cell>
          <cell r="G64">
            <v>123.88313930783728</v>
          </cell>
          <cell r="H64">
            <v>16.606638534956023</v>
          </cell>
          <cell r="I64">
            <v>1848.011402741166</v>
          </cell>
          <cell r="J64">
            <v>1714.5411835096604</v>
          </cell>
        </row>
        <row r="65">
          <cell r="A65">
            <v>47</v>
          </cell>
          <cell r="B65">
            <v>40548</v>
          </cell>
          <cell r="C65">
            <v>1848.011402741166</v>
          </cell>
          <cell r="D65">
            <v>140.4897778427933</v>
          </cell>
          <cell r="E65">
            <v>0</v>
          </cell>
          <cell r="F65">
            <v>140.4897778427933</v>
          </cell>
          <cell r="G65">
            <v>124.92644181270812</v>
          </cell>
          <cell r="H65">
            <v>15.563336030085187</v>
          </cell>
          <cell r="I65">
            <v>1723.0849609284578</v>
          </cell>
          <cell r="J65">
            <v>1730.1045195397455</v>
          </cell>
        </row>
        <row r="66">
          <cell r="A66">
            <v>48</v>
          </cell>
          <cell r="B66">
            <v>40579</v>
          </cell>
          <cell r="C66">
            <v>1723.0849609284578</v>
          </cell>
          <cell r="D66">
            <v>140.4897778427933</v>
          </cell>
          <cell r="E66">
            <v>0</v>
          </cell>
          <cell r="F66">
            <v>140.4897778427933</v>
          </cell>
          <cell r="G66">
            <v>125.97853066350747</v>
          </cell>
          <cell r="H66">
            <v>14.51124717928583</v>
          </cell>
          <cell r="I66">
            <v>1597.1064302649504</v>
          </cell>
          <cell r="J66">
            <v>1744.6157667190314</v>
          </cell>
        </row>
        <row r="67">
          <cell r="A67">
            <v>49</v>
          </cell>
          <cell r="B67">
            <v>40607</v>
          </cell>
          <cell r="C67">
            <v>1597.1064302649504</v>
          </cell>
          <cell r="D67">
            <v>140.4897778427933</v>
          </cell>
          <cell r="E67">
            <v>0</v>
          </cell>
          <cell r="F67">
            <v>140.4897778427933</v>
          </cell>
          <cell r="G67">
            <v>127.03947985591198</v>
          </cell>
          <cell r="H67">
            <v>13.450297986881324</v>
          </cell>
          <cell r="I67">
            <v>1470.0669504090383</v>
          </cell>
          <cell r="J67">
            <v>1758.0660647059128</v>
          </cell>
        </row>
        <row r="68">
          <cell r="A68">
            <v>50</v>
          </cell>
          <cell r="B68">
            <v>40638</v>
          </cell>
          <cell r="C68">
            <v>1470.0669504090383</v>
          </cell>
          <cell r="D68">
            <v>140.4897778427933</v>
          </cell>
          <cell r="E68">
            <v>0</v>
          </cell>
          <cell r="F68">
            <v>140.4897778427933</v>
          </cell>
          <cell r="G68">
            <v>128.10936400876517</v>
          </cell>
          <cell r="H68">
            <v>12.380413834028118</v>
          </cell>
          <cell r="I68">
            <v>1341.9575864002732</v>
          </cell>
          <cell r="J68">
            <v>1770.4464785399409</v>
          </cell>
        </row>
        <row r="69">
          <cell r="A69">
            <v>51</v>
          </cell>
          <cell r="B69">
            <v>40668</v>
          </cell>
          <cell r="C69">
            <v>1341.9575864002732</v>
          </cell>
          <cell r="D69">
            <v>140.4897778427933</v>
          </cell>
          <cell r="E69">
            <v>0</v>
          </cell>
          <cell r="F69">
            <v>140.4897778427933</v>
          </cell>
          <cell r="G69">
            <v>129.18825836932567</v>
          </cell>
          <cell r="H69">
            <v>11.301519473467634</v>
          </cell>
          <cell r="I69">
            <v>1212.7693280309475</v>
          </cell>
          <cell r="J69">
            <v>1781.7479980134085</v>
          </cell>
        </row>
        <row r="70">
          <cell r="A70">
            <v>52</v>
          </cell>
          <cell r="B70">
            <v>40699</v>
          </cell>
          <cell r="C70">
            <v>1212.7693280309475</v>
          </cell>
          <cell r="D70">
            <v>140.4897778427933</v>
          </cell>
          <cell r="E70">
            <v>0</v>
          </cell>
          <cell r="F70">
            <v>140.4897778427933</v>
          </cell>
          <cell r="G70">
            <v>130.27623881855934</v>
          </cell>
          <cell r="H70">
            <v>10.213539024233961</v>
          </cell>
          <cell r="I70">
            <v>1082.4930892123882</v>
          </cell>
          <cell r="J70">
            <v>1791.9615370376425</v>
          </cell>
        </row>
        <row r="71">
          <cell r="A71">
            <v>53</v>
          </cell>
          <cell r="B71">
            <v>40729</v>
          </cell>
          <cell r="C71">
            <v>1082.4930892123882</v>
          </cell>
          <cell r="D71">
            <v>140.4897778427933</v>
          </cell>
          <cell r="E71">
            <v>0</v>
          </cell>
          <cell r="F71">
            <v>140.4897778427933</v>
          </cell>
          <cell r="G71">
            <v>131.37338187647632</v>
          </cell>
          <cell r="H71">
            <v>9.1163959663169951</v>
          </cell>
          <cell r="I71">
            <v>951.11970733591193</v>
          </cell>
          <cell r="J71">
            <v>1801.0779330039595</v>
          </cell>
        </row>
        <row r="72">
          <cell r="A72">
            <v>54</v>
          </cell>
          <cell r="B72">
            <v>40760</v>
          </cell>
          <cell r="C72">
            <v>951.11970733591193</v>
          </cell>
          <cell r="D72">
            <v>140.4897778427933</v>
          </cell>
          <cell r="E72">
            <v>0</v>
          </cell>
          <cell r="F72">
            <v>140.4897778427933</v>
          </cell>
          <cell r="G72">
            <v>132.47976470751269</v>
          </cell>
          <cell r="H72">
            <v>8.0100131352806052</v>
          </cell>
          <cell r="I72">
            <v>818.63994262839924</v>
          </cell>
          <cell r="J72">
            <v>1809.0879461392401</v>
          </cell>
        </row>
        <row r="73">
          <cell r="A73">
            <v>55</v>
          </cell>
          <cell r="B73">
            <v>40791</v>
          </cell>
          <cell r="C73">
            <v>818.63994262839924</v>
          </cell>
          <cell r="D73">
            <v>140.4897778427933</v>
          </cell>
          <cell r="E73">
            <v>0</v>
          </cell>
          <cell r="F73">
            <v>140.4897778427933</v>
          </cell>
          <cell r="G73">
            <v>133.59546512595779</v>
          </cell>
          <cell r="H73">
            <v>6.8943127168355014</v>
          </cell>
          <cell r="I73">
            <v>685.0444775024414</v>
          </cell>
          <cell r="J73">
            <v>1815.9822588560755</v>
          </cell>
        </row>
        <row r="74">
          <cell r="A74">
            <v>56</v>
          </cell>
          <cell r="B74">
            <v>40821</v>
          </cell>
          <cell r="C74">
            <v>685.0444775024414</v>
          </cell>
          <cell r="D74">
            <v>140.4897778427933</v>
          </cell>
          <cell r="E74">
            <v>0</v>
          </cell>
          <cell r="F74">
            <v>140.4897778427933</v>
          </cell>
          <cell r="G74">
            <v>134.72056160142691</v>
          </cell>
          <cell r="H74">
            <v>5.7692162413663937</v>
          </cell>
          <cell r="I74">
            <v>550.32391590101452</v>
          </cell>
          <cell r="J74">
            <v>1821.7514750974419</v>
          </cell>
        </row>
        <row r="75">
          <cell r="A75">
            <v>57</v>
          </cell>
          <cell r="B75">
            <v>40852</v>
          </cell>
          <cell r="C75">
            <v>550.32391590101452</v>
          </cell>
          <cell r="D75">
            <v>140.4897778427933</v>
          </cell>
          <cell r="E75">
            <v>0</v>
          </cell>
          <cell r="F75">
            <v>140.4897778427933</v>
          </cell>
          <cell r="G75">
            <v>135.85513326438027</v>
          </cell>
          <cell r="H75">
            <v>4.6346445784130443</v>
          </cell>
          <cell r="I75">
            <v>414.46878263663427</v>
          </cell>
          <cell r="J75">
            <v>1826.3861196758551</v>
          </cell>
        </row>
        <row r="76">
          <cell r="A76">
            <v>58</v>
          </cell>
          <cell r="B76">
            <v>40882</v>
          </cell>
          <cell r="C76">
            <v>414.46878263663427</v>
          </cell>
          <cell r="D76">
            <v>140.4897778427933</v>
          </cell>
          <cell r="E76">
            <v>0</v>
          </cell>
          <cell r="F76">
            <v>140.4897778427933</v>
          </cell>
          <cell r="G76">
            <v>136.99925991168845</v>
          </cell>
          <cell r="H76">
            <v>3.4905179311048546</v>
          </cell>
          <cell r="I76">
            <v>277.46952272494582</v>
          </cell>
          <cell r="J76">
            <v>1829.87663760696</v>
          </cell>
        </row>
        <row r="77">
          <cell r="A77">
            <v>59</v>
          </cell>
          <cell r="B77">
            <v>40913</v>
          </cell>
          <cell r="C77">
            <v>277.46952272494582</v>
          </cell>
          <cell r="D77">
            <v>140.4897778427933</v>
          </cell>
          <cell r="E77">
            <v>0</v>
          </cell>
          <cell r="F77">
            <v>140.4897778427933</v>
          </cell>
          <cell r="G77">
            <v>138.15302201224472</v>
          </cell>
          <cell r="H77">
            <v>2.3367558305485852</v>
          </cell>
          <cell r="I77">
            <v>139.3165007127011</v>
          </cell>
          <cell r="J77">
            <v>1832.2133934375086</v>
          </cell>
        </row>
        <row r="78">
          <cell r="A78">
            <v>60</v>
          </cell>
          <cell r="B78">
            <v>40944</v>
          </cell>
          <cell r="C78">
            <v>139.3165007127011</v>
          </cell>
          <cell r="D78">
            <v>140.4897778427933</v>
          </cell>
          <cell r="E78">
            <v>0</v>
          </cell>
          <cell r="F78">
            <v>139.3165007127011</v>
          </cell>
          <cell r="G78">
            <v>138.1432235825323</v>
          </cell>
          <cell r="H78">
            <v>1.1732771301687979</v>
          </cell>
          <cell r="I78">
            <v>0</v>
          </cell>
          <cell r="J78">
            <v>1833.3866705676774</v>
          </cell>
        </row>
        <row r="79">
          <cell r="A79">
            <v>61</v>
          </cell>
          <cell r="B79">
            <v>40973</v>
          </cell>
          <cell r="C79">
            <v>0</v>
          </cell>
          <cell r="D79">
            <v>140.4897778427933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1833.3866705676774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books  YTD"/>
      <sheetName val="Proof"/>
      <sheetName val="Summary"/>
      <sheetName val="Expenses YTD"/>
      <sheetName val="Net Assets YTD"/>
      <sheetName val="Salary YTD"/>
      <sheetName val="Balance Sheet YTD"/>
    </sheetNames>
    <sheetDataSet>
      <sheetData sheetId="0" refreshError="1"/>
      <sheetData sheetId="1">
        <row r="11">
          <cell r="M11" t="str">
            <v>Four Freedoms Center</v>
          </cell>
        </row>
        <row r="12">
          <cell r="M12" t="str">
            <v>Campus Network</v>
          </cell>
        </row>
        <row r="13">
          <cell r="M13" t="str">
            <v>Pipeline</v>
          </cell>
        </row>
        <row r="14">
          <cell r="M14" t="str">
            <v>FDR Library</v>
          </cell>
        </row>
        <row r="15">
          <cell r="M15" t="str">
            <v>FF Awards</v>
          </cell>
        </row>
        <row r="16">
          <cell r="M16" t="str">
            <v>Vanden Heuvel Fund</v>
          </cell>
        </row>
        <row r="17">
          <cell r="M17" t="str">
            <v>Legacy Awards and Events</v>
          </cell>
        </row>
        <row r="18">
          <cell r="M18" t="str">
            <v>FDR Four Freedoms Park</v>
          </cell>
        </row>
        <row r="19">
          <cell r="M19" t="str">
            <v>Fundraising</v>
          </cell>
        </row>
        <row r="20">
          <cell r="M20" t="str">
            <v>DPSA</v>
          </cell>
        </row>
        <row r="21">
          <cell r="M21" t="str">
            <v>Indirect</v>
          </cell>
        </row>
        <row r="22">
          <cell r="M22" t="str">
            <v>5th Floor</v>
          </cell>
        </row>
        <row r="23">
          <cell r="M23" t="str">
            <v>Management and general</v>
          </cell>
        </row>
      </sheetData>
      <sheetData sheetId="2">
        <row r="52">
          <cell r="C52">
            <v>8926614.5587166585</v>
          </cell>
        </row>
      </sheetData>
      <sheetData sheetId="3">
        <row r="11">
          <cell r="A11" t="str">
            <v>Salaries</v>
          </cell>
        </row>
      </sheetData>
      <sheetData sheetId="4" refreshError="1"/>
      <sheetData sheetId="5" refreshError="1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ckbooks  YTD"/>
      <sheetName val="Proof"/>
      <sheetName val="Summary"/>
      <sheetName val="Expenses YTD"/>
      <sheetName val="Net Assets YTD"/>
      <sheetName val="Salary YTD"/>
      <sheetName val="Balance Sheet YTD"/>
    </sheetNames>
    <sheetDataSet>
      <sheetData sheetId="0" refreshError="1"/>
      <sheetData sheetId="1">
        <row r="11">
          <cell r="M11" t="str">
            <v>Four Freedoms Center</v>
          </cell>
        </row>
        <row r="12">
          <cell r="M12" t="str">
            <v>Campus Network</v>
          </cell>
        </row>
        <row r="13">
          <cell r="M13" t="str">
            <v>Pipeline</v>
          </cell>
        </row>
        <row r="14">
          <cell r="M14" t="str">
            <v>FDR Library</v>
          </cell>
        </row>
        <row r="15">
          <cell r="M15" t="str">
            <v>FF Awards</v>
          </cell>
        </row>
        <row r="16">
          <cell r="M16" t="str">
            <v>Vanden Heuvel Fund</v>
          </cell>
        </row>
        <row r="17">
          <cell r="M17" t="str">
            <v>Legacy Awards and Events</v>
          </cell>
        </row>
        <row r="18">
          <cell r="M18" t="str">
            <v>FDR Four Freedoms Park</v>
          </cell>
        </row>
        <row r="19">
          <cell r="M19" t="str">
            <v>Fundraising</v>
          </cell>
        </row>
        <row r="20">
          <cell r="M20" t="str">
            <v>DPSA</v>
          </cell>
        </row>
        <row r="21">
          <cell r="M21" t="str">
            <v>Indirect</v>
          </cell>
        </row>
        <row r="22">
          <cell r="M22" t="str">
            <v>5th Floor</v>
          </cell>
        </row>
        <row r="23">
          <cell r="M23" t="str">
            <v>Management and general</v>
          </cell>
        </row>
      </sheetData>
      <sheetData sheetId="2">
        <row r="52">
          <cell r="C52">
            <v>8926614.5587166585</v>
          </cell>
        </row>
      </sheetData>
      <sheetData sheetId="3">
        <row r="11">
          <cell r="A11" t="str">
            <v>Salaries</v>
          </cell>
        </row>
      </sheetData>
      <sheetData sheetId="4" refreshError="1"/>
      <sheetData sheetId="5" refreshError="1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FP.Condensed"/>
      <sheetName val="SOA.Condensed.Current"/>
      <sheetName val="SOA.Condensed.New"/>
      <sheetName val="Cover"/>
      <sheetName val="SOFP.New"/>
      <sheetName val="SOA.New"/>
      <sheetName val="SOCF.New"/>
      <sheetName val="SOFE 2018"/>
      <sheetName val="SOFE 2017"/>
      <sheetName val="Rolling Forecast"/>
      <sheetName val="SOA.New (Functional Expense)"/>
      <sheetName val="NARF.New"/>
      <sheetName val="P&amp;L Current Year"/>
      <sheetName val="P&amp;L Prior Year"/>
      <sheetName val="BS Current Year"/>
      <sheetName val="BS Prior Year"/>
      <sheetName val="Board Designated"/>
      <sheetName val="Net Assets"/>
      <sheetName val="Availability"/>
      <sheetName val="SOFP.Old"/>
      <sheetName val="SOA.Old"/>
      <sheetName val="SOCF.Old"/>
      <sheetName val="NARF.Old"/>
      <sheetName val="Cost Allocation Policy"/>
      <sheetName val="Allocations 20X1"/>
      <sheetName val="Allocations 20X0"/>
      <sheetName val="Loan Schedule"/>
      <sheetName val="DramaMama_sample company 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B1" t="str">
            <v>LOAN AMORTIZATION SCHEDULE</v>
          </cell>
        </row>
        <row r="3">
          <cell r="E3">
            <v>1010000</v>
          </cell>
          <cell r="I3">
            <v>4968.5928999027847</v>
          </cell>
        </row>
        <row r="4">
          <cell r="E4">
            <v>4.2500000000000003E-2</v>
          </cell>
          <cell r="I4">
            <v>360</v>
          </cell>
        </row>
        <row r="5">
          <cell r="E5">
            <v>30</v>
          </cell>
        </row>
        <row r="6">
          <cell r="E6">
            <v>12</v>
          </cell>
        </row>
        <row r="7">
          <cell r="E7">
            <v>42917</v>
          </cell>
        </row>
        <row r="9">
          <cell r="E9">
            <v>0</v>
          </cell>
        </row>
        <row r="11">
          <cell r="B11" t="str">
            <v>PMT NO</v>
          </cell>
          <cell r="C11" t="str">
            <v>PAYMENT DATE</v>
          </cell>
          <cell r="D11" t="str">
            <v>BEGINNING BALANCE</v>
          </cell>
          <cell r="E11" t="str">
            <v>SCHEDULED PAYMENT</v>
          </cell>
          <cell r="F11" t="str">
            <v>EXTRA PAYMENT</v>
          </cell>
          <cell r="G11" t="str">
            <v>TOTAL PAYMENT</v>
          </cell>
          <cell r="H11" t="str">
            <v>PRINCIPAL</v>
          </cell>
          <cell r="I11" t="str">
            <v>INTEREST</v>
          </cell>
          <cell r="J11" t="str">
            <v>ENDING BALANCE</v>
          </cell>
          <cell r="K11" t="str">
            <v>CUMULATIVE INTEREST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18">
          <cell r="B18">
            <v>7</v>
          </cell>
        </row>
        <row r="19">
          <cell r="B19">
            <v>8</v>
          </cell>
        </row>
        <row r="20">
          <cell r="B20">
            <v>9</v>
          </cell>
        </row>
        <row r="21">
          <cell r="B21">
            <v>10</v>
          </cell>
        </row>
        <row r="22">
          <cell r="B22">
            <v>11</v>
          </cell>
        </row>
        <row r="23">
          <cell r="B23">
            <v>12</v>
          </cell>
        </row>
        <row r="24">
          <cell r="B24">
            <v>13</v>
          </cell>
        </row>
        <row r="25">
          <cell r="B25">
            <v>14</v>
          </cell>
        </row>
        <row r="26">
          <cell r="B26">
            <v>15</v>
          </cell>
        </row>
        <row r="27">
          <cell r="B27">
            <v>16</v>
          </cell>
        </row>
        <row r="28">
          <cell r="B28">
            <v>17</v>
          </cell>
        </row>
        <row r="29">
          <cell r="B29">
            <v>18</v>
          </cell>
        </row>
        <row r="30">
          <cell r="B30">
            <v>19</v>
          </cell>
        </row>
        <row r="31">
          <cell r="B31">
            <v>20</v>
          </cell>
        </row>
        <row r="32">
          <cell r="B32">
            <v>21</v>
          </cell>
        </row>
        <row r="33">
          <cell r="B33">
            <v>22</v>
          </cell>
        </row>
        <row r="34">
          <cell r="B34">
            <v>23</v>
          </cell>
        </row>
        <row r="35">
          <cell r="B35">
            <v>24</v>
          </cell>
        </row>
        <row r="36">
          <cell r="B36">
            <v>25</v>
          </cell>
        </row>
        <row r="37">
          <cell r="B37">
            <v>26</v>
          </cell>
        </row>
        <row r="38">
          <cell r="B38">
            <v>27</v>
          </cell>
        </row>
        <row r="39">
          <cell r="B39">
            <v>28</v>
          </cell>
        </row>
        <row r="40">
          <cell r="B40">
            <v>29</v>
          </cell>
        </row>
        <row r="41">
          <cell r="B41">
            <v>30</v>
          </cell>
        </row>
        <row r="42">
          <cell r="B42">
            <v>31</v>
          </cell>
        </row>
        <row r="43">
          <cell r="B43">
            <v>32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  <row r="50">
          <cell r="B50">
            <v>39</v>
          </cell>
        </row>
        <row r="51">
          <cell r="B51">
            <v>40</v>
          </cell>
        </row>
        <row r="52">
          <cell r="B52">
            <v>41</v>
          </cell>
        </row>
        <row r="53">
          <cell r="B53">
            <v>42</v>
          </cell>
        </row>
        <row r="54">
          <cell r="B54">
            <v>43</v>
          </cell>
        </row>
        <row r="55">
          <cell r="B55">
            <v>44</v>
          </cell>
        </row>
        <row r="56">
          <cell r="B56">
            <v>45</v>
          </cell>
        </row>
        <row r="57">
          <cell r="B57">
            <v>46</v>
          </cell>
        </row>
        <row r="58">
          <cell r="B58">
            <v>47</v>
          </cell>
        </row>
        <row r="59">
          <cell r="B59">
            <v>48</v>
          </cell>
        </row>
        <row r="60">
          <cell r="B60">
            <v>49</v>
          </cell>
        </row>
        <row r="61">
          <cell r="B61">
            <v>50</v>
          </cell>
        </row>
        <row r="62">
          <cell r="B62">
            <v>51</v>
          </cell>
        </row>
        <row r="63">
          <cell r="B63">
            <v>52</v>
          </cell>
        </row>
        <row r="64">
          <cell r="B64">
            <v>53</v>
          </cell>
        </row>
        <row r="65">
          <cell r="B65">
            <v>54</v>
          </cell>
        </row>
        <row r="66">
          <cell r="B66">
            <v>55</v>
          </cell>
        </row>
        <row r="67">
          <cell r="B67">
            <v>56</v>
          </cell>
        </row>
        <row r="68">
          <cell r="B68">
            <v>57</v>
          </cell>
        </row>
        <row r="69">
          <cell r="B69">
            <v>58</v>
          </cell>
        </row>
        <row r="70">
          <cell r="B70">
            <v>59</v>
          </cell>
        </row>
        <row r="71">
          <cell r="B71">
            <v>60</v>
          </cell>
        </row>
        <row r="72">
          <cell r="B72">
            <v>61</v>
          </cell>
        </row>
        <row r="73">
          <cell r="B73">
            <v>62</v>
          </cell>
        </row>
        <row r="74">
          <cell r="B74">
            <v>63</v>
          </cell>
        </row>
        <row r="75">
          <cell r="B75">
            <v>64</v>
          </cell>
        </row>
        <row r="76">
          <cell r="B76">
            <v>65</v>
          </cell>
        </row>
        <row r="77">
          <cell r="B77">
            <v>66</v>
          </cell>
        </row>
        <row r="78">
          <cell r="B78">
            <v>67</v>
          </cell>
        </row>
        <row r="79">
          <cell r="B79">
            <v>68</v>
          </cell>
        </row>
        <row r="80">
          <cell r="B80">
            <v>69</v>
          </cell>
        </row>
        <row r="81">
          <cell r="B81">
            <v>70</v>
          </cell>
        </row>
        <row r="82">
          <cell r="B82">
            <v>71</v>
          </cell>
        </row>
        <row r="83">
          <cell r="B83">
            <v>72</v>
          </cell>
        </row>
        <row r="84">
          <cell r="B84">
            <v>73</v>
          </cell>
        </row>
        <row r="85">
          <cell r="B85">
            <v>74</v>
          </cell>
        </row>
        <row r="86">
          <cell r="B86">
            <v>75</v>
          </cell>
        </row>
        <row r="87">
          <cell r="B87">
            <v>76</v>
          </cell>
        </row>
        <row r="88">
          <cell r="B88">
            <v>77</v>
          </cell>
        </row>
        <row r="89">
          <cell r="B89">
            <v>78</v>
          </cell>
        </row>
        <row r="90">
          <cell r="B90">
            <v>79</v>
          </cell>
        </row>
        <row r="91">
          <cell r="B91">
            <v>80</v>
          </cell>
        </row>
        <row r="92">
          <cell r="B92">
            <v>81</v>
          </cell>
        </row>
        <row r="93">
          <cell r="B93">
            <v>82</v>
          </cell>
        </row>
        <row r="94">
          <cell r="B94">
            <v>83</v>
          </cell>
        </row>
        <row r="95">
          <cell r="B95">
            <v>84</v>
          </cell>
        </row>
        <row r="96">
          <cell r="B96">
            <v>85</v>
          </cell>
        </row>
        <row r="97">
          <cell r="B97">
            <v>86</v>
          </cell>
        </row>
        <row r="98">
          <cell r="B98">
            <v>87</v>
          </cell>
        </row>
        <row r="99">
          <cell r="B99">
            <v>88</v>
          </cell>
        </row>
        <row r="100">
          <cell r="B100">
            <v>89</v>
          </cell>
        </row>
        <row r="101">
          <cell r="B101">
            <v>90</v>
          </cell>
        </row>
        <row r="102">
          <cell r="B102">
            <v>91</v>
          </cell>
        </row>
        <row r="103">
          <cell r="B103">
            <v>92</v>
          </cell>
        </row>
        <row r="104">
          <cell r="B104">
            <v>93</v>
          </cell>
        </row>
        <row r="105">
          <cell r="B105">
            <v>94</v>
          </cell>
        </row>
        <row r="106">
          <cell r="B106">
            <v>95</v>
          </cell>
        </row>
        <row r="107">
          <cell r="B107">
            <v>96</v>
          </cell>
        </row>
        <row r="108">
          <cell r="B108">
            <v>97</v>
          </cell>
        </row>
        <row r="109">
          <cell r="B109">
            <v>98</v>
          </cell>
        </row>
        <row r="110">
          <cell r="B110">
            <v>99</v>
          </cell>
        </row>
        <row r="111">
          <cell r="B111">
            <v>100</v>
          </cell>
        </row>
        <row r="112">
          <cell r="B112">
            <v>101</v>
          </cell>
        </row>
        <row r="113">
          <cell r="B113">
            <v>102</v>
          </cell>
        </row>
        <row r="114">
          <cell r="B114">
            <v>103</v>
          </cell>
        </row>
        <row r="115">
          <cell r="B115">
            <v>104</v>
          </cell>
        </row>
        <row r="116">
          <cell r="B116">
            <v>105</v>
          </cell>
        </row>
        <row r="117">
          <cell r="B117">
            <v>106</v>
          </cell>
        </row>
        <row r="118">
          <cell r="B118">
            <v>107</v>
          </cell>
        </row>
        <row r="119">
          <cell r="B119">
            <v>108</v>
          </cell>
        </row>
        <row r="120">
          <cell r="B120">
            <v>109</v>
          </cell>
        </row>
        <row r="121">
          <cell r="B121">
            <v>110</v>
          </cell>
        </row>
        <row r="122">
          <cell r="B122">
            <v>111</v>
          </cell>
        </row>
        <row r="123">
          <cell r="B123">
            <v>112</v>
          </cell>
        </row>
        <row r="124">
          <cell r="B124">
            <v>113</v>
          </cell>
        </row>
        <row r="125">
          <cell r="B125">
            <v>114</v>
          </cell>
        </row>
        <row r="126">
          <cell r="B126">
            <v>115</v>
          </cell>
        </row>
        <row r="127">
          <cell r="B127">
            <v>116</v>
          </cell>
        </row>
        <row r="128">
          <cell r="B128">
            <v>117</v>
          </cell>
        </row>
        <row r="129">
          <cell r="B129">
            <v>118</v>
          </cell>
        </row>
        <row r="130">
          <cell r="B130">
            <v>119</v>
          </cell>
        </row>
        <row r="131">
          <cell r="B131">
            <v>120</v>
          </cell>
        </row>
        <row r="132">
          <cell r="B132">
            <v>121</v>
          </cell>
        </row>
        <row r="133">
          <cell r="B133">
            <v>122</v>
          </cell>
        </row>
        <row r="134">
          <cell r="B134">
            <v>123</v>
          </cell>
        </row>
        <row r="135">
          <cell r="B135">
            <v>124</v>
          </cell>
        </row>
        <row r="136">
          <cell r="B136">
            <v>125</v>
          </cell>
        </row>
        <row r="137">
          <cell r="B137">
            <v>126</v>
          </cell>
        </row>
        <row r="138">
          <cell r="B138">
            <v>127</v>
          </cell>
        </row>
        <row r="139">
          <cell r="B139">
            <v>128</v>
          </cell>
        </row>
        <row r="140">
          <cell r="B140">
            <v>129</v>
          </cell>
        </row>
        <row r="141">
          <cell r="B141">
            <v>130</v>
          </cell>
        </row>
        <row r="142">
          <cell r="B142">
            <v>131</v>
          </cell>
        </row>
        <row r="143">
          <cell r="B143">
            <v>132</v>
          </cell>
        </row>
        <row r="144">
          <cell r="B144">
            <v>133</v>
          </cell>
        </row>
        <row r="145">
          <cell r="B145">
            <v>134</v>
          </cell>
        </row>
        <row r="146">
          <cell r="B146">
            <v>135</v>
          </cell>
        </row>
        <row r="147">
          <cell r="B147">
            <v>136</v>
          </cell>
        </row>
        <row r="148">
          <cell r="B148">
            <v>137</v>
          </cell>
        </row>
        <row r="149">
          <cell r="B149">
            <v>138</v>
          </cell>
        </row>
        <row r="150">
          <cell r="B150">
            <v>139</v>
          </cell>
        </row>
        <row r="151">
          <cell r="B151">
            <v>140</v>
          </cell>
        </row>
        <row r="152">
          <cell r="B152">
            <v>141</v>
          </cell>
        </row>
        <row r="153">
          <cell r="B153">
            <v>142</v>
          </cell>
        </row>
        <row r="154">
          <cell r="B154">
            <v>143</v>
          </cell>
        </row>
        <row r="155">
          <cell r="B155">
            <v>144</v>
          </cell>
        </row>
        <row r="156">
          <cell r="B156">
            <v>145</v>
          </cell>
        </row>
        <row r="157">
          <cell r="B157">
            <v>146</v>
          </cell>
        </row>
        <row r="158">
          <cell r="B158">
            <v>147</v>
          </cell>
        </row>
        <row r="159">
          <cell r="B159">
            <v>148</v>
          </cell>
        </row>
        <row r="160">
          <cell r="B160">
            <v>149</v>
          </cell>
        </row>
        <row r="161">
          <cell r="B161">
            <v>150</v>
          </cell>
        </row>
        <row r="162">
          <cell r="B162">
            <v>151</v>
          </cell>
        </row>
        <row r="163">
          <cell r="B163">
            <v>152</v>
          </cell>
        </row>
        <row r="164">
          <cell r="B164">
            <v>153</v>
          </cell>
        </row>
        <row r="165">
          <cell r="B165">
            <v>154</v>
          </cell>
        </row>
        <row r="166">
          <cell r="B166">
            <v>155</v>
          </cell>
        </row>
        <row r="167">
          <cell r="B167">
            <v>156</v>
          </cell>
        </row>
        <row r="168">
          <cell r="B168">
            <v>157</v>
          </cell>
        </row>
        <row r="169">
          <cell r="B169">
            <v>158</v>
          </cell>
        </row>
        <row r="170">
          <cell r="B170">
            <v>159</v>
          </cell>
        </row>
        <row r="171">
          <cell r="B171">
            <v>160</v>
          </cell>
        </row>
        <row r="172">
          <cell r="B172">
            <v>161</v>
          </cell>
        </row>
        <row r="173">
          <cell r="B173">
            <v>162</v>
          </cell>
        </row>
        <row r="174">
          <cell r="B174">
            <v>163</v>
          </cell>
        </row>
        <row r="175">
          <cell r="B175">
            <v>164</v>
          </cell>
        </row>
        <row r="176">
          <cell r="B176">
            <v>165</v>
          </cell>
        </row>
        <row r="177">
          <cell r="B177">
            <v>166</v>
          </cell>
        </row>
        <row r="178">
          <cell r="B178">
            <v>167</v>
          </cell>
        </row>
        <row r="179">
          <cell r="B179">
            <v>168</v>
          </cell>
        </row>
        <row r="180">
          <cell r="B180">
            <v>169</v>
          </cell>
        </row>
        <row r="181">
          <cell r="B181">
            <v>170</v>
          </cell>
        </row>
        <row r="182">
          <cell r="B182">
            <v>171</v>
          </cell>
        </row>
        <row r="183">
          <cell r="B183">
            <v>172</v>
          </cell>
        </row>
        <row r="184">
          <cell r="B184">
            <v>173</v>
          </cell>
        </row>
        <row r="185">
          <cell r="B185">
            <v>174</v>
          </cell>
        </row>
        <row r="186">
          <cell r="B186">
            <v>175</v>
          </cell>
        </row>
        <row r="187">
          <cell r="B187">
            <v>176</v>
          </cell>
        </row>
        <row r="188">
          <cell r="B188">
            <v>177</v>
          </cell>
        </row>
        <row r="189">
          <cell r="B189">
            <v>178</v>
          </cell>
        </row>
        <row r="190">
          <cell r="B190">
            <v>179</v>
          </cell>
        </row>
        <row r="191">
          <cell r="B191">
            <v>180</v>
          </cell>
        </row>
        <row r="192">
          <cell r="B192">
            <v>181</v>
          </cell>
        </row>
        <row r="193">
          <cell r="B193">
            <v>182</v>
          </cell>
        </row>
        <row r="194">
          <cell r="B194">
            <v>183</v>
          </cell>
        </row>
        <row r="195">
          <cell r="B195">
            <v>184</v>
          </cell>
        </row>
        <row r="196">
          <cell r="B196">
            <v>185</v>
          </cell>
        </row>
        <row r="197">
          <cell r="B197">
            <v>186</v>
          </cell>
        </row>
        <row r="198">
          <cell r="B198">
            <v>187</v>
          </cell>
        </row>
        <row r="199">
          <cell r="B199">
            <v>188</v>
          </cell>
        </row>
        <row r="200">
          <cell r="B200">
            <v>189</v>
          </cell>
        </row>
        <row r="201">
          <cell r="B201">
            <v>190</v>
          </cell>
        </row>
        <row r="202">
          <cell r="B202">
            <v>191</v>
          </cell>
        </row>
        <row r="203">
          <cell r="B203">
            <v>192</v>
          </cell>
        </row>
        <row r="204">
          <cell r="B204">
            <v>193</v>
          </cell>
        </row>
        <row r="205">
          <cell r="B205">
            <v>194</v>
          </cell>
        </row>
        <row r="206">
          <cell r="B206">
            <v>195</v>
          </cell>
        </row>
        <row r="207">
          <cell r="B207">
            <v>196</v>
          </cell>
        </row>
        <row r="208">
          <cell r="B208">
            <v>197</v>
          </cell>
        </row>
        <row r="209">
          <cell r="B209">
            <v>198</v>
          </cell>
        </row>
        <row r="210">
          <cell r="B210">
            <v>199</v>
          </cell>
        </row>
        <row r="211">
          <cell r="B211">
            <v>200</v>
          </cell>
        </row>
        <row r="212">
          <cell r="B212">
            <v>201</v>
          </cell>
        </row>
        <row r="213">
          <cell r="B213">
            <v>202</v>
          </cell>
        </row>
        <row r="214">
          <cell r="B214">
            <v>203</v>
          </cell>
        </row>
        <row r="215">
          <cell r="B215">
            <v>204</v>
          </cell>
        </row>
        <row r="216">
          <cell r="B216">
            <v>205</v>
          </cell>
        </row>
        <row r="217">
          <cell r="B217">
            <v>206</v>
          </cell>
        </row>
        <row r="218">
          <cell r="B218">
            <v>207</v>
          </cell>
        </row>
        <row r="219">
          <cell r="B219">
            <v>208</v>
          </cell>
        </row>
        <row r="220">
          <cell r="B220">
            <v>209</v>
          </cell>
        </row>
        <row r="221">
          <cell r="B221">
            <v>210</v>
          </cell>
        </row>
        <row r="222">
          <cell r="B222">
            <v>211</v>
          </cell>
        </row>
        <row r="223">
          <cell r="B223">
            <v>212</v>
          </cell>
        </row>
        <row r="224">
          <cell r="B224">
            <v>213</v>
          </cell>
        </row>
        <row r="225">
          <cell r="B225">
            <v>214</v>
          </cell>
        </row>
        <row r="226">
          <cell r="B226">
            <v>215</v>
          </cell>
        </row>
        <row r="227">
          <cell r="B227">
            <v>216</v>
          </cell>
        </row>
        <row r="228">
          <cell r="B228">
            <v>217</v>
          </cell>
        </row>
        <row r="229">
          <cell r="B229">
            <v>218</v>
          </cell>
        </row>
        <row r="230">
          <cell r="B230">
            <v>219</v>
          </cell>
        </row>
        <row r="231">
          <cell r="B231">
            <v>220</v>
          </cell>
        </row>
        <row r="232">
          <cell r="B232">
            <v>221</v>
          </cell>
        </row>
        <row r="233">
          <cell r="B233">
            <v>222</v>
          </cell>
        </row>
        <row r="234">
          <cell r="B234">
            <v>223</v>
          </cell>
        </row>
        <row r="235">
          <cell r="B235">
            <v>224</v>
          </cell>
        </row>
        <row r="236">
          <cell r="B236">
            <v>225</v>
          </cell>
        </row>
        <row r="237">
          <cell r="B237">
            <v>226</v>
          </cell>
        </row>
        <row r="238">
          <cell r="B238">
            <v>227</v>
          </cell>
        </row>
        <row r="239">
          <cell r="B239">
            <v>228</v>
          </cell>
        </row>
        <row r="240">
          <cell r="B240">
            <v>229</v>
          </cell>
        </row>
        <row r="241">
          <cell r="B241">
            <v>230</v>
          </cell>
        </row>
        <row r="242">
          <cell r="B242">
            <v>231</v>
          </cell>
        </row>
        <row r="243">
          <cell r="B243">
            <v>232</v>
          </cell>
        </row>
        <row r="244">
          <cell r="B244">
            <v>233</v>
          </cell>
        </row>
        <row r="245">
          <cell r="B245">
            <v>234</v>
          </cell>
        </row>
        <row r="246">
          <cell r="B246">
            <v>235</v>
          </cell>
        </row>
        <row r="247">
          <cell r="B247">
            <v>236</v>
          </cell>
        </row>
        <row r="248">
          <cell r="B248">
            <v>237</v>
          </cell>
        </row>
        <row r="249">
          <cell r="B249">
            <v>238</v>
          </cell>
        </row>
        <row r="250">
          <cell r="B250">
            <v>239</v>
          </cell>
        </row>
        <row r="251">
          <cell r="B251">
            <v>240</v>
          </cell>
        </row>
        <row r="252">
          <cell r="B252">
            <v>241</v>
          </cell>
        </row>
        <row r="253">
          <cell r="B253">
            <v>242</v>
          </cell>
        </row>
        <row r="254">
          <cell r="B254">
            <v>243</v>
          </cell>
        </row>
        <row r="255">
          <cell r="B255">
            <v>244</v>
          </cell>
        </row>
        <row r="256">
          <cell r="B256">
            <v>245</v>
          </cell>
        </row>
        <row r="257">
          <cell r="B257">
            <v>246</v>
          </cell>
        </row>
        <row r="258">
          <cell r="B258">
            <v>247</v>
          </cell>
        </row>
        <row r="259">
          <cell r="B259">
            <v>248</v>
          </cell>
        </row>
        <row r="260">
          <cell r="B260">
            <v>249</v>
          </cell>
        </row>
        <row r="261">
          <cell r="B261">
            <v>250</v>
          </cell>
        </row>
        <row r="262">
          <cell r="B262">
            <v>251</v>
          </cell>
        </row>
        <row r="263">
          <cell r="B263">
            <v>252</v>
          </cell>
        </row>
        <row r="264">
          <cell r="B264">
            <v>253</v>
          </cell>
        </row>
        <row r="265">
          <cell r="B265">
            <v>254</v>
          </cell>
        </row>
        <row r="266">
          <cell r="B266">
            <v>255</v>
          </cell>
        </row>
        <row r="267">
          <cell r="B267">
            <v>256</v>
          </cell>
        </row>
        <row r="268">
          <cell r="B268">
            <v>257</v>
          </cell>
        </row>
        <row r="269">
          <cell r="B269">
            <v>258</v>
          </cell>
        </row>
        <row r="270">
          <cell r="B270">
            <v>259</v>
          </cell>
        </row>
        <row r="271">
          <cell r="B271">
            <v>260</v>
          </cell>
        </row>
        <row r="272">
          <cell r="B272">
            <v>261</v>
          </cell>
        </row>
        <row r="273">
          <cell r="B273">
            <v>262</v>
          </cell>
        </row>
        <row r="274">
          <cell r="B274">
            <v>263</v>
          </cell>
        </row>
        <row r="275">
          <cell r="B275">
            <v>264</v>
          </cell>
        </row>
        <row r="276">
          <cell r="B276">
            <v>265</v>
          </cell>
        </row>
        <row r="277">
          <cell r="B277">
            <v>266</v>
          </cell>
        </row>
        <row r="278">
          <cell r="B278">
            <v>267</v>
          </cell>
        </row>
        <row r="279">
          <cell r="B279">
            <v>268</v>
          </cell>
        </row>
        <row r="280">
          <cell r="B280">
            <v>269</v>
          </cell>
        </row>
        <row r="281">
          <cell r="B281">
            <v>270</v>
          </cell>
        </row>
        <row r="282">
          <cell r="B282">
            <v>271</v>
          </cell>
        </row>
        <row r="283">
          <cell r="B283">
            <v>272</v>
          </cell>
        </row>
        <row r="284">
          <cell r="B284">
            <v>273</v>
          </cell>
        </row>
        <row r="285">
          <cell r="B285">
            <v>274</v>
          </cell>
        </row>
        <row r="286">
          <cell r="B286">
            <v>275</v>
          </cell>
        </row>
        <row r="287">
          <cell r="B287">
            <v>276</v>
          </cell>
        </row>
        <row r="288">
          <cell r="B288">
            <v>277</v>
          </cell>
        </row>
        <row r="289">
          <cell r="B289">
            <v>278</v>
          </cell>
        </row>
        <row r="290">
          <cell r="B290">
            <v>279</v>
          </cell>
        </row>
        <row r="291">
          <cell r="B291">
            <v>280</v>
          </cell>
        </row>
        <row r="292">
          <cell r="B292">
            <v>281</v>
          </cell>
        </row>
        <row r="293">
          <cell r="B293">
            <v>282</v>
          </cell>
        </row>
        <row r="294">
          <cell r="B294">
            <v>283</v>
          </cell>
        </row>
        <row r="295">
          <cell r="B295">
            <v>284</v>
          </cell>
        </row>
        <row r="296">
          <cell r="B296">
            <v>285</v>
          </cell>
        </row>
        <row r="297">
          <cell r="B297">
            <v>286</v>
          </cell>
        </row>
        <row r="298">
          <cell r="B298">
            <v>287</v>
          </cell>
        </row>
        <row r="299">
          <cell r="B299">
            <v>288</v>
          </cell>
        </row>
        <row r="300">
          <cell r="B300">
            <v>289</v>
          </cell>
        </row>
        <row r="301">
          <cell r="B301">
            <v>290</v>
          </cell>
        </row>
        <row r="302">
          <cell r="B302">
            <v>291</v>
          </cell>
        </row>
        <row r="303">
          <cell r="B303">
            <v>292</v>
          </cell>
        </row>
        <row r="304">
          <cell r="B304">
            <v>293</v>
          </cell>
        </row>
        <row r="305">
          <cell r="B305">
            <v>294</v>
          </cell>
        </row>
        <row r="306">
          <cell r="B306">
            <v>295</v>
          </cell>
        </row>
        <row r="307">
          <cell r="B307">
            <v>296</v>
          </cell>
        </row>
        <row r="308">
          <cell r="B308">
            <v>297</v>
          </cell>
        </row>
        <row r="309">
          <cell r="B309">
            <v>298</v>
          </cell>
        </row>
        <row r="310">
          <cell r="B310">
            <v>299</v>
          </cell>
        </row>
        <row r="311">
          <cell r="B311">
            <v>300</v>
          </cell>
        </row>
        <row r="312">
          <cell r="B312">
            <v>301</v>
          </cell>
        </row>
        <row r="313">
          <cell r="B313">
            <v>302</v>
          </cell>
        </row>
        <row r="314">
          <cell r="B314">
            <v>303</v>
          </cell>
        </row>
        <row r="315">
          <cell r="B315">
            <v>304</v>
          </cell>
        </row>
        <row r="316">
          <cell r="B316">
            <v>305</v>
          </cell>
        </row>
        <row r="317">
          <cell r="B317">
            <v>306</v>
          </cell>
        </row>
        <row r="318">
          <cell r="B318">
            <v>307</v>
          </cell>
        </row>
        <row r="319">
          <cell r="B319">
            <v>308</v>
          </cell>
        </row>
        <row r="320">
          <cell r="B320">
            <v>309</v>
          </cell>
        </row>
        <row r="321">
          <cell r="B321">
            <v>310</v>
          </cell>
        </row>
        <row r="322">
          <cell r="B322">
            <v>311</v>
          </cell>
        </row>
        <row r="323">
          <cell r="B323">
            <v>312</v>
          </cell>
        </row>
        <row r="324">
          <cell r="B324">
            <v>313</v>
          </cell>
        </row>
        <row r="325">
          <cell r="B325">
            <v>314</v>
          </cell>
        </row>
        <row r="326">
          <cell r="B326">
            <v>315</v>
          </cell>
        </row>
        <row r="327">
          <cell r="B327">
            <v>316</v>
          </cell>
        </row>
        <row r="328">
          <cell r="B328">
            <v>317</v>
          </cell>
        </row>
        <row r="329">
          <cell r="B329">
            <v>318</v>
          </cell>
        </row>
        <row r="330">
          <cell r="B330">
            <v>319</v>
          </cell>
        </row>
        <row r="331">
          <cell r="B331">
            <v>320</v>
          </cell>
        </row>
        <row r="332">
          <cell r="B332">
            <v>321</v>
          </cell>
        </row>
        <row r="333">
          <cell r="B333">
            <v>322</v>
          </cell>
        </row>
        <row r="334">
          <cell r="B334">
            <v>323</v>
          </cell>
        </row>
        <row r="335">
          <cell r="B335">
            <v>324</v>
          </cell>
        </row>
        <row r="336">
          <cell r="B336">
            <v>325</v>
          </cell>
        </row>
        <row r="337">
          <cell r="B337">
            <v>326</v>
          </cell>
        </row>
        <row r="338">
          <cell r="B338">
            <v>327</v>
          </cell>
        </row>
        <row r="339">
          <cell r="B339">
            <v>328</v>
          </cell>
        </row>
        <row r="340">
          <cell r="B340">
            <v>329</v>
          </cell>
        </row>
        <row r="341">
          <cell r="B341">
            <v>330</v>
          </cell>
        </row>
        <row r="342">
          <cell r="B342">
            <v>331</v>
          </cell>
        </row>
        <row r="343">
          <cell r="B343">
            <v>332</v>
          </cell>
        </row>
        <row r="344">
          <cell r="B344">
            <v>333</v>
          </cell>
        </row>
        <row r="345">
          <cell r="B345">
            <v>334</v>
          </cell>
        </row>
        <row r="346">
          <cell r="B346">
            <v>335</v>
          </cell>
        </row>
        <row r="347">
          <cell r="B347">
            <v>336</v>
          </cell>
        </row>
        <row r="348">
          <cell r="B348">
            <v>337</v>
          </cell>
        </row>
        <row r="349">
          <cell r="B349">
            <v>338</v>
          </cell>
        </row>
        <row r="350">
          <cell r="B350">
            <v>339</v>
          </cell>
        </row>
        <row r="351">
          <cell r="B351">
            <v>340</v>
          </cell>
        </row>
        <row r="352">
          <cell r="B352">
            <v>341</v>
          </cell>
        </row>
        <row r="353">
          <cell r="B353">
            <v>342</v>
          </cell>
        </row>
        <row r="354">
          <cell r="B354">
            <v>343</v>
          </cell>
        </row>
        <row r="355">
          <cell r="B355">
            <v>344</v>
          </cell>
        </row>
        <row r="356">
          <cell r="B356">
            <v>345</v>
          </cell>
        </row>
        <row r="357">
          <cell r="B357">
            <v>346</v>
          </cell>
        </row>
        <row r="358">
          <cell r="B358">
            <v>347</v>
          </cell>
        </row>
        <row r="359">
          <cell r="B359">
            <v>348</v>
          </cell>
        </row>
        <row r="360">
          <cell r="B360">
            <v>349</v>
          </cell>
        </row>
        <row r="361">
          <cell r="B361">
            <v>350</v>
          </cell>
        </row>
        <row r="362">
          <cell r="B362">
            <v>351</v>
          </cell>
        </row>
        <row r="363">
          <cell r="B363">
            <v>352</v>
          </cell>
        </row>
        <row r="364">
          <cell r="B364">
            <v>353</v>
          </cell>
        </row>
        <row r="365">
          <cell r="B365">
            <v>354</v>
          </cell>
        </row>
        <row r="366">
          <cell r="B366">
            <v>355</v>
          </cell>
        </row>
        <row r="367">
          <cell r="B367">
            <v>356</v>
          </cell>
        </row>
        <row r="368">
          <cell r="B368">
            <v>357</v>
          </cell>
        </row>
        <row r="369">
          <cell r="B369">
            <v>358</v>
          </cell>
        </row>
        <row r="370">
          <cell r="B370">
            <v>359</v>
          </cell>
        </row>
        <row r="371">
          <cell r="B371">
            <v>360</v>
          </cell>
        </row>
      </sheetData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Pos"/>
      <sheetName val="Act2008"/>
      <sheetName val="Act2007"/>
      <sheetName val="Cashflow"/>
      <sheetName val="Note 4"/>
      <sheetName val="Note 4a"/>
      <sheetName val="Func exp 2008 (not printed)"/>
      <sheetName val="Allocation (not printed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Stmt"/>
      <sheetName val="Steps"/>
      <sheetName val="Exh A"/>
      <sheetName val="Exh B"/>
      <sheetName val="Exh C"/>
      <sheetName val="Exh D"/>
      <sheetName val="Exh E"/>
      <sheetName val="Exh F"/>
      <sheetName val="Exh G"/>
    </sheetNames>
    <sheetDataSet>
      <sheetData sheetId="0"/>
      <sheetData sheetId="1"/>
      <sheetData sheetId="2">
        <row r="20">
          <cell r="I20">
            <v>0</v>
          </cell>
        </row>
        <row r="21">
          <cell r="I21">
            <v>0</v>
          </cell>
        </row>
        <row r="40">
          <cell r="I40">
            <v>0</v>
          </cell>
        </row>
        <row r="41">
          <cell r="I41">
            <v>0</v>
          </cell>
        </row>
      </sheetData>
      <sheetData sheetId="3">
        <row r="25">
          <cell r="E25">
            <v>0</v>
          </cell>
        </row>
      </sheetData>
      <sheetData sheetId="4">
        <row r="49">
          <cell r="F49">
            <v>0</v>
          </cell>
        </row>
      </sheetData>
      <sheetData sheetId="5">
        <row r="10">
          <cell r="P10">
            <v>0</v>
          </cell>
        </row>
      </sheetData>
      <sheetData sheetId="6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22">
          <cell r="H22">
            <v>0</v>
          </cell>
        </row>
        <row r="46">
          <cell r="H46">
            <v>0</v>
          </cell>
        </row>
        <row r="48">
          <cell r="H48">
            <v>0</v>
          </cell>
        </row>
        <row r="59">
          <cell r="H59">
            <v>0</v>
          </cell>
        </row>
        <row r="60">
          <cell r="H60">
            <v>0</v>
          </cell>
        </row>
        <row r="72">
          <cell r="H72">
            <v>0</v>
          </cell>
        </row>
        <row r="79">
          <cell r="D79">
            <v>0</v>
          </cell>
        </row>
        <row r="103">
          <cell r="D103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 Stmt"/>
      <sheetName val="Steps"/>
      <sheetName val="Exh A"/>
      <sheetName val="Exh B"/>
      <sheetName val="Exh C"/>
      <sheetName val="Exh D"/>
      <sheetName val="Exh E"/>
      <sheetName val="Exh F"/>
      <sheetName val="Exh G"/>
    </sheetNames>
    <sheetDataSet>
      <sheetData sheetId="0"/>
      <sheetData sheetId="1"/>
      <sheetData sheetId="2">
        <row r="20">
          <cell r="I20">
            <v>0</v>
          </cell>
        </row>
        <row r="21">
          <cell r="I21">
            <v>0</v>
          </cell>
        </row>
        <row r="40">
          <cell r="I40">
            <v>0</v>
          </cell>
        </row>
        <row r="41">
          <cell r="I41">
            <v>0</v>
          </cell>
        </row>
      </sheetData>
      <sheetData sheetId="3">
        <row r="25">
          <cell r="E25">
            <v>0</v>
          </cell>
        </row>
      </sheetData>
      <sheetData sheetId="4">
        <row r="49">
          <cell r="F49">
            <v>0</v>
          </cell>
        </row>
      </sheetData>
      <sheetData sheetId="5">
        <row r="10">
          <cell r="P10">
            <v>0</v>
          </cell>
        </row>
      </sheetData>
      <sheetData sheetId="6"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22">
          <cell r="H22">
            <v>0</v>
          </cell>
        </row>
        <row r="46">
          <cell r="H46">
            <v>0</v>
          </cell>
        </row>
        <row r="48">
          <cell r="H48">
            <v>0</v>
          </cell>
        </row>
        <row r="59">
          <cell r="H59">
            <v>0</v>
          </cell>
        </row>
        <row r="60">
          <cell r="H60">
            <v>0</v>
          </cell>
        </row>
        <row r="72">
          <cell r="H72">
            <v>0</v>
          </cell>
        </row>
        <row r="79">
          <cell r="D79">
            <v>0</v>
          </cell>
        </row>
        <row r="103">
          <cell r="D103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6000 · Administrative Expenses:6110 · Accounting</v>
          </cell>
        </row>
        <row r="2">
          <cell r="A2" t="str">
            <v>6000 · Administrative Expenses:6120 · Advertising/Promotional</v>
          </cell>
        </row>
        <row r="3">
          <cell r="A3" t="str">
            <v>6000 · Administrative Expenses:6130 · Bank Fees</v>
          </cell>
        </row>
        <row r="4">
          <cell r="A4" t="str">
            <v>6000 · Administrative Expenses:6140 · Consultants</v>
          </cell>
        </row>
        <row r="5">
          <cell r="A5" t="str">
            <v>6000 · Administrative Expenses:6150 · Continuing Education</v>
          </cell>
        </row>
        <row r="6">
          <cell r="A6" t="str">
            <v>6000 · Administrative Expenses:6160 · Credit Card Fees</v>
          </cell>
        </row>
        <row r="7">
          <cell r="A7" t="str">
            <v>6000 · Administrative Expenses:6170 · Depreciation Expense</v>
          </cell>
        </row>
        <row r="8">
          <cell r="A8" t="str">
            <v>6000 · Administrative Expenses:6180 · Dues &amp; Subscriptions</v>
          </cell>
        </row>
        <row r="9">
          <cell r="A9" t="str">
            <v>6000 · Administrative Expenses:6190 · Insurance</v>
          </cell>
        </row>
        <row r="10">
          <cell r="A10" t="str">
            <v>6000 · Administrative Expenses:6200 · Interest Expense</v>
          </cell>
        </row>
        <row r="11">
          <cell r="A11" t="str">
            <v>6000 · Administrative Expenses:6210 · Leasing</v>
          </cell>
        </row>
        <row r="12">
          <cell r="A12" t="str">
            <v>6000 · Administrative Expenses:6220 · Legal &amp; Professional Fees</v>
          </cell>
        </row>
        <row r="13">
          <cell r="A13" t="str">
            <v>6000 · Administrative Expenses:6230 · Meals</v>
          </cell>
        </row>
        <row r="14">
          <cell r="A14" t="str">
            <v>6000 · Administrative Expenses:6240 · Printed Materials</v>
          </cell>
        </row>
        <row r="15">
          <cell r="A15" t="str">
            <v>6000 · Administrative Expenses:6250 · Rent</v>
          </cell>
        </row>
        <row r="16">
          <cell r="A16" t="str">
            <v>6000 · Administrative Expenses:6260 · Shipping &amp; Postage</v>
          </cell>
        </row>
        <row r="17">
          <cell r="A17" t="str">
            <v>6000 · Administrative Expenses:6270 · Space Rental Fees</v>
          </cell>
        </row>
        <row r="18">
          <cell r="A18" t="str">
            <v>6000 · Administrative Expenses:6280 · Supplies &amp; Materials</v>
          </cell>
        </row>
        <row r="19">
          <cell r="A19" t="str">
            <v>6000 · Administrative Expenses:6290 · Technology</v>
          </cell>
        </row>
        <row r="20">
          <cell r="A20" t="str">
            <v>6000 · Administrative Expenses:6300 · Telephone/Internet</v>
          </cell>
        </row>
        <row r="21">
          <cell r="A21" t="str">
            <v>6000 · Administrative Expenses:6310 · Travel and Lodging</v>
          </cell>
        </row>
        <row r="22">
          <cell r="A22" t="str">
            <v>6000 · Administrative Expenses:6320 · Utilities</v>
          </cell>
        </row>
        <row r="23">
          <cell r="A23" t="str">
            <v>6000 · Administrative Expenses:6330 · Website Fees</v>
          </cell>
        </row>
        <row r="24">
          <cell r="A24" t="str">
            <v>6000 · Administrative Expenses:6340 · Miscellaneous</v>
          </cell>
        </row>
        <row r="25">
          <cell r="A25" t="str">
            <v>6500 · Internships:6510 · Expenses</v>
          </cell>
        </row>
        <row r="26">
          <cell r="A26" t="str">
            <v>6500 · Internships:6520 · Search fees</v>
          </cell>
        </row>
        <row r="27">
          <cell r="A27" t="str">
            <v>6600 · Research:6610 · Consultants</v>
          </cell>
        </row>
        <row r="28">
          <cell r="A28" t="str">
            <v>6600 · Research:6620 · Meetings</v>
          </cell>
        </row>
        <row r="29">
          <cell r="A29" t="str">
            <v>6600 · Research:6630 · Printed Materials</v>
          </cell>
        </row>
        <row r="30">
          <cell r="A30" t="str">
            <v>6600 · Research:6640 · Travel and Lodging</v>
          </cell>
        </row>
        <row r="31">
          <cell r="A31" t="str">
            <v>6600 · Research:6650 · Supplies &amp; Materials</v>
          </cell>
        </row>
        <row r="32">
          <cell r="A32" t="str">
            <v>6600 · Research:6660 · Meals</v>
          </cell>
        </row>
        <row r="33">
          <cell r="A33" t="str">
            <v>6600 · Research:6670 · Marketing and Advertising</v>
          </cell>
        </row>
        <row r="34">
          <cell r="A34" t="str">
            <v>6800 · Programming Costs:6810 · Advertising/Promotional</v>
          </cell>
        </row>
        <row r="35">
          <cell r="A35" t="str">
            <v>6800 · Programming Costs:6820 · Audio Visual</v>
          </cell>
        </row>
        <row r="36">
          <cell r="A36" t="str">
            <v>6800 · Programming Costs:6830 · Consultants</v>
          </cell>
        </row>
        <row r="37">
          <cell r="A37" t="str">
            <v>6800 · Programming Costs:6840 · Equipment Rental Fees</v>
          </cell>
        </row>
        <row r="38">
          <cell r="A38" t="str">
            <v>6800 · Programming Costs:6850 · Food</v>
          </cell>
        </row>
        <row r="39">
          <cell r="A39" t="str">
            <v>6800 · Programming Costs:6860 · Media and Technology</v>
          </cell>
        </row>
        <row r="40">
          <cell r="A40" t="str">
            <v>6800 · Programming Costs:6870 · Miscellaneous costs</v>
          </cell>
        </row>
        <row r="41">
          <cell r="A41" t="str">
            <v>6800 · Programming Costs:6880 · Registration Materials</v>
          </cell>
        </row>
        <row r="42">
          <cell r="A42" t="str">
            <v>6800 · Programming Costs:6890 · Space Rental Fees</v>
          </cell>
        </row>
        <row r="43">
          <cell r="A43" t="str">
            <v>6800 · Programming Costs:6900 · Travel and Lodging</v>
          </cell>
        </row>
        <row r="44">
          <cell r="A44" t="str">
            <v>6910 · Uncategorized Expense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"/>
      <sheetName val="Account List"/>
    </sheetNames>
    <sheetDataSet>
      <sheetData sheetId="0" refreshError="1"/>
      <sheetData sheetId="1">
        <row r="1">
          <cell r="A1" t="str">
            <v>Account</v>
          </cell>
        </row>
        <row r="2">
          <cell r="A2" t="str">
            <v>1000 — Uncategorized Expense</v>
          </cell>
        </row>
        <row r="3">
          <cell r="A3" t="str">
            <v>1100 — Other Misc. Expense</v>
          </cell>
        </row>
        <row r="4">
          <cell r="A4" t="str">
            <v>6000 — Administrative Expenses</v>
          </cell>
        </row>
        <row r="5">
          <cell r="A5" t="str">
            <v>6000 — Administrative Expenses:6110 — Accounting</v>
          </cell>
        </row>
        <row r="6">
          <cell r="A6" t="str">
            <v>6000 — Administrative Expenses:6120 — Advertising/Promotional</v>
          </cell>
        </row>
        <row r="7">
          <cell r="A7" t="str">
            <v>6000 — Administrative Expenses:6130 — Bank Fees</v>
          </cell>
        </row>
        <row r="8">
          <cell r="A8" t="str">
            <v>6000 — Administrative Expenses:6140 — Consultants</v>
          </cell>
        </row>
        <row r="9">
          <cell r="A9" t="str">
            <v>6000 — Administrative Expenses:6150 — Continuing Education</v>
          </cell>
        </row>
        <row r="10">
          <cell r="A10" t="str">
            <v>6000 — Administrative Expenses:6160 — Credit Card Fees</v>
          </cell>
        </row>
        <row r="11">
          <cell r="A11" t="str">
            <v>6000 — Administrative Expenses:6170 — Depreciation Expense</v>
          </cell>
        </row>
        <row r="12">
          <cell r="A12" t="str">
            <v>6000 — Administrative Expenses:6180 — Dues &amp; Subscriptions</v>
          </cell>
        </row>
        <row r="13">
          <cell r="A13" t="str">
            <v>6000 — Administrative Expenses:6190 — Insurance</v>
          </cell>
        </row>
        <row r="14">
          <cell r="A14" t="str">
            <v>6000 — Administrative Expenses:6200 — Interest Expense</v>
          </cell>
        </row>
        <row r="15">
          <cell r="A15" t="str">
            <v>6000 — Administrative Expenses:6210 — Leasing</v>
          </cell>
        </row>
        <row r="16">
          <cell r="A16" t="str">
            <v>6000 — Administrative Expenses:6220 — Legal &amp; Professional Fees</v>
          </cell>
        </row>
        <row r="17">
          <cell r="A17" t="str">
            <v>6000 — Administrative Expenses:6230 — Meals</v>
          </cell>
        </row>
        <row r="18">
          <cell r="A18" t="str">
            <v>6000 — Administrative Expenses:6240 — Printed Materials</v>
          </cell>
        </row>
        <row r="19">
          <cell r="A19" t="str">
            <v>6000 — Administrative Expenses:6250 — Rent</v>
          </cell>
        </row>
        <row r="20">
          <cell r="A20" t="str">
            <v>6000 — Administrative Expenses:6260 — Shipping &amp; Postage</v>
          </cell>
        </row>
        <row r="21">
          <cell r="A21" t="str">
            <v>6000 — Administrative Expenses:6270 — Space Rental Fees</v>
          </cell>
        </row>
        <row r="22">
          <cell r="A22" t="str">
            <v>6000 — Administrative Expenses:6280 — Supplies &amp; Materials</v>
          </cell>
        </row>
        <row r="23">
          <cell r="A23" t="str">
            <v>6000 — Administrative Expenses:6290 — Technology</v>
          </cell>
        </row>
        <row r="24">
          <cell r="A24" t="str">
            <v>6000 — Administrative Expenses:6300 — Telephone/Internet</v>
          </cell>
        </row>
        <row r="25">
          <cell r="A25" t="str">
            <v>6000 — Administrative Expenses:6310 — Travel and Lodging</v>
          </cell>
        </row>
        <row r="26">
          <cell r="A26" t="str">
            <v>6000 — Administrative Expenses:6320 — Utilities</v>
          </cell>
        </row>
        <row r="27">
          <cell r="A27" t="str">
            <v>6000 — Administrative Expenses:6330 — Website Fees</v>
          </cell>
        </row>
        <row r="28">
          <cell r="A28" t="str">
            <v>6000 — Administrative Expenses:6340 — Miscellaneous</v>
          </cell>
        </row>
        <row r="29">
          <cell r="A29" t="str">
            <v>6000 — Administrative Expenses:6350 — Audio Visual</v>
          </cell>
        </row>
        <row r="30">
          <cell r="A30" t="str">
            <v>6500 — Internships</v>
          </cell>
        </row>
        <row r="31">
          <cell r="A31" t="str">
            <v>6500 — Internships:6510 — Expenses</v>
          </cell>
        </row>
        <row r="32">
          <cell r="A32" t="str">
            <v>6500 — Internships:6520 — Search Fees</v>
          </cell>
        </row>
        <row r="33">
          <cell r="A33" t="str">
            <v>6500 — Internships:6530 — Stipend/Bonus</v>
          </cell>
        </row>
        <row r="34">
          <cell r="A34" t="str">
            <v>6600 — Research</v>
          </cell>
        </row>
        <row r="35">
          <cell r="A35" t="str">
            <v>6600 — Research:6610 — Consultants</v>
          </cell>
        </row>
        <row r="36">
          <cell r="A36" t="str">
            <v>6600 — Research:6620 — Meetings</v>
          </cell>
        </row>
        <row r="37">
          <cell r="A37" t="str">
            <v>6600 — Research:6630 — Printed Materials</v>
          </cell>
        </row>
        <row r="38">
          <cell r="A38" t="str">
            <v>6600 — Research:6640 — Travel and Lodging</v>
          </cell>
        </row>
        <row r="39">
          <cell r="A39" t="str">
            <v>6600 — Research:6650 — Supplies &amp; Materials</v>
          </cell>
        </row>
        <row r="40">
          <cell r="A40" t="str">
            <v>6600 — Research:6660 — Meals</v>
          </cell>
        </row>
        <row r="41">
          <cell r="A41" t="str">
            <v>6600 — Research:6670 — Marketing and Advertising</v>
          </cell>
        </row>
        <row r="42">
          <cell r="A42" t="str">
            <v>66000 — Payroll Expenses</v>
          </cell>
        </row>
        <row r="43">
          <cell r="A43" t="str">
            <v>66900 — Reconciliation Discrepancies</v>
          </cell>
        </row>
        <row r="44">
          <cell r="A44" t="str">
            <v>6700 — Personnel</v>
          </cell>
        </row>
        <row r="45">
          <cell r="A45" t="str">
            <v>6700 — Personnel:6710 — Accrued Vacation</v>
          </cell>
        </row>
        <row r="46">
          <cell r="A46" t="str">
            <v>6700 — Personnel:6720 — Health Insurance Premiums</v>
          </cell>
        </row>
        <row r="47">
          <cell r="A47" t="str">
            <v>6700 — Personnel:6730 — HSA</v>
          </cell>
        </row>
        <row r="48">
          <cell r="A48" t="str">
            <v>6700 — Personnel:6740 — Payroll Taxes</v>
          </cell>
        </row>
        <row r="49">
          <cell r="A49" t="str">
            <v>6700 — Personnel:6750 — Salary</v>
          </cell>
        </row>
        <row r="50">
          <cell r="A50" t="str">
            <v>6700 — Personnel:6760 — W/C Insurance</v>
          </cell>
        </row>
        <row r="51">
          <cell r="A51" t="str">
            <v>6700 — Personnel:6770 — Transit Check</v>
          </cell>
        </row>
        <row r="52">
          <cell r="A52" t="str">
            <v>6700 — Personnel:6780 — Transit Check fee</v>
          </cell>
        </row>
        <row r="53">
          <cell r="A53" t="str">
            <v>6700 — Personnel:6790 — Payroll Processing Fees</v>
          </cell>
        </row>
        <row r="54">
          <cell r="A54" t="str">
            <v>6700 — Personnel:Expenses  DELETE</v>
          </cell>
        </row>
        <row r="55">
          <cell r="A55" t="str">
            <v>6800 — Programming Costs</v>
          </cell>
        </row>
        <row r="56">
          <cell r="A56" t="str">
            <v>6800 — Programming Costs:6810 — Advertising/Promotional</v>
          </cell>
        </row>
        <row r="57">
          <cell r="A57" t="str">
            <v>6800 — Programming Costs:6820 — Audio Visual</v>
          </cell>
        </row>
        <row r="58">
          <cell r="A58" t="str">
            <v>6800 — Programming Costs:6825 — Speaker fees</v>
          </cell>
        </row>
        <row r="59">
          <cell r="A59" t="str">
            <v>6800 — Programming Costs:6830 — Consultants</v>
          </cell>
        </row>
        <row r="60">
          <cell r="A60" t="str">
            <v>6800 — Programming Costs:6840 — Equipment Rental Fees</v>
          </cell>
        </row>
        <row r="61">
          <cell r="A61" t="str">
            <v>6800 — Programming Costs:6850 — Food</v>
          </cell>
        </row>
        <row r="62">
          <cell r="A62" t="str">
            <v>6800 — Programming Costs:6860 — Media and Technology</v>
          </cell>
        </row>
        <row r="63">
          <cell r="A63" t="str">
            <v>6800 — Programming Costs:6870 — Miscellaneous costs</v>
          </cell>
        </row>
        <row r="64">
          <cell r="A64" t="str">
            <v>6800 — Programming Costs:6880 — Registration Materials</v>
          </cell>
        </row>
        <row r="65">
          <cell r="A65" t="str">
            <v>6800 — Programming Costs:6890 — Space Rental Fees</v>
          </cell>
        </row>
        <row r="66">
          <cell r="A66" t="str">
            <v>6800 — Programming Costs:6895 — Travel and Lodging</v>
          </cell>
        </row>
        <row r="67">
          <cell r="A67" t="str">
            <v>6900 — Membership</v>
          </cell>
        </row>
        <row r="68">
          <cell r="A68" t="str">
            <v>6900 — Membership:6910 — Food</v>
          </cell>
        </row>
        <row r="69">
          <cell r="A69" t="str">
            <v>6900 — Membership:6920 — Travel and Lodging</v>
          </cell>
        </row>
        <row r="70">
          <cell r="A70" t="str">
            <v>6900 — Membership:6930 — Printing Materials</v>
          </cell>
        </row>
        <row r="71">
          <cell r="A71" t="str">
            <v>6900 — Membership:6940 — Miscellaneous costs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Month-End (Superseded)"/>
      <sheetName val="memo"/>
      <sheetName val="VLS"/>
      <sheetName val="BS"/>
      <sheetName val="SOA"/>
      <sheetName val="SOA Months"/>
      <sheetName val="CF"/>
      <sheetName val="Charts"/>
      <sheetName val="PL"/>
      <sheetName val="PST"/>
      <sheetName val="Public Support"/>
      <sheetName val="Trial Balance"/>
      <sheetName val="1010, 1020 (Bank Accounts)"/>
      <sheetName val="1010 - Savings"/>
      <sheetName val="1020 - Bank Rec"/>
      <sheetName val="1020 - Bank Rec (Apr)"/>
      <sheetName val="11000 (AR)"/>
      <sheetName val="1230 (Prepaid Expenses)"/>
      <sheetName val="1250 (PayPal)"/>
      <sheetName val="1245 (Due From Paychex)"/>
      <sheetName val="1270 - To be Reimbursed"/>
      <sheetName val="1700, 1795 (Fixed Assets, Dep)"/>
      <sheetName val="1900 (Security Deposit)"/>
      <sheetName val="1910 (Event Deposit)"/>
      <sheetName val="20000 (AP)"/>
      <sheetName val="1030 (Chase Credit Card)"/>
      <sheetName val="1035 (American Express)"/>
      <sheetName val="2005 (Accrued Vacation)"/>
      <sheetName val="2140 Membership Revenues"/>
      <sheetName val="2150 Deferred Rev"/>
      <sheetName val="2140 Level VL"/>
      <sheetName val="NARF"/>
      <sheetName val="Functional Expense Allocation"/>
      <sheetName val="EXPS"/>
      <sheetName val="201612%20Dec%20Workpapers.xlsx"/>
      <sheetName val="201612 Dec Workpapers"/>
    </sheetNames>
    <sheetDataSet>
      <sheetData sheetId="0"/>
      <sheetData sheetId="1"/>
      <sheetData sheetId="2"/>
      <sheetData sheetId="3">
        <row r="1">
          <cell r="B1" t="str">
            <v>acct</v>
          </cell>
          <cell r="C1" t="str">
            <v>numgrp</v>
          </cell>
          <cell r="D1" t="str">
            <v>bucket</v>
          </cell>
          <cell r="E1" t="str">
            <v>line</v>
          </cell>
        </row>
        <row r="2">
          <cell r="B2" t="str">
            <v>1010 — Chase Savings</v>
          </cell>
          <cell r="C2" t="str">
            <v>1010</v>
          </cell>
          <cell r="D2" t="str">
            <v>Current Assets</v>
          </cell>
          <cell r="E2" t="str">
            <v>Cash and Cash Equivelents</v>
          </cell>
        </row>
        <row r="3">
          <cell r="B3" t="str">
            <v>1020 — Chase Checking</v>
          </cell>
          <cell r="C3" t="str">
            <v>1020</v>
          </cell>
          <cell r="D3" t="str">
            <v>Current Assets</v>
          </cell>
          <cell r="E3" t="str">
            <v>Cash and Cash Equivelents</v>
          </cell>
        </row>
        <row r="4">
          <cell r="B4" t="str">
            <v>1030 — Chase Credit Card</v>
          </cell>
          <cell r="C4" t="str">
            <v>1030</v>
          </cell>
          <cell r="D4" t="str">
            <v>Current Liabilities</v>
          </cell>
          <cell r="E4" t="str">
            <v>Credit Card Liabilities</v>
          </cell>
        </row>
        <row r="5">
          <cell r="B5" t="str">
            <v>1030 — Chase Credit Card:1040 — Matthew Swift CC</v>
          </cell>
          <cell r="C5" t="str">
            <v>1030</v>
          </cell>
          <cell r="D5" t="str">
            <v>Current Liabilities</v>
          </cell>
          <cell r="E5" t="str">
            <v>Credit Card Liabilities</v>
          </cell>
        </row>
        <row r="6">
          <cell r="B6" t="str">
            <v>1030 — Chase Credit Card:1050 — Nicholas Logothetis CC</v>
          </cell>
          <cell r="C6" t="str">
            <v>1030</v>
          </cell>
          <cell r="D6" t="str">
            <v>Current Liabilities</v>
          </cell>
          <cell r="E6" t="str">
            <v>Credit Card Liabilities</v>
          </cell>
        </row>
        <row r="7">
          <cell r="B7" t="str">
            <v>1030 — Chase Credit Card:1060 — Regina Hubard CC</v>
          </cell>
          <cell r="C7" t="str">
            <v>1030</v>
          </cell>
          <cell r="D7" t="str">
            <v>Current Liabilities</v>
          </cell>
          <cell r="E7" t="str">
            <v>Credit Card Liabilities</v>
          </cell>
        </row>
        <row r="8">
          <cell r="B8" t="str">
            <v>1030 — Chase Credit Card:1070 — Natalie Pregibon CC</v>
          </cell>
          <cell r="C8" t="str">
            <v>1030</v>
          </cell>
          <cell r="D8" t="str">
            <v>Current Liabilities</v>
          </cell>
          <cell r="E8" t="str">
            <v>Credit Card Liabilities</v>
          </cell>
        </row>
        <row r="9">
          <cell r="B9" t="str">
            <v>1030 — Chase Credit Card:1080 — Maria Correa CC</v>
          </cell>
          <cell r="C9" t="str">
            <v>1030</v>
          </cell>
          <cell r="D9" t="str">
            <v>Current Liabilities</v>
          </cell>
          <cell r="E9" t="str">
            <v>Credit Card Liabilities</v>
          </cell>
        </row>
        <row r="10">
          <cell r="B10" t="str">
            <v>1030 — Chase Credit Card:1090 — Reed Dunn CC</v>
          </cell>
          <cell r="C10" t="str">
            <v>1030</v>
          </cell>
          <cell r="D10" t="str">
            <v>Current Liabilities</v>
          </cell>
          <cell r="E10" t="str">
            <v>Credit Card Liabilities</v>
          </cell>
        </row>
        <row r="11">
          <cell r="B11" t="str">
            <v>1030 — Chase Credit Card:1090-1 — Sheri Singer CC</v>
          </cell>
          <cell r="C11" t="str">
            <v>1030</v>
          </cell>
          <cell r="D11" t="str">
            <v>Current Liabilities</v>
          </cell>
          <cell r="E11" t="str">
            <v>Credit Card Liabilities</v>
          </cell>
        </row>
        <row r="12">
          <cell r="B12" t="str">
            <v>1031 — Capital One Card:1032 — Capital One</v>
          </cell>
          <cell r="C12" t="str">
            <v>1031</v>
          </cell>
          <cell r="D12" t="str">
            <v>Current Liabilities</v>
          </cell>
          <cell r="E12" t="str">
            <v>Credit Card Liabilities</v>
          </cell>
        </row>
        <row r="13">
          <cell r="B13" t="str">
            <v>1035 — American Express</v>
          </cell>
          <cell r="C13" t="str">
            <v>1035</v>
          </cell>
          <cell r="D13" t="str">
            <v>Current Liabilities</v>
          </cell>
          <cell r="E13" t="str">
            <v>Credit Card Liabilities</v>
          </cell>
        </row>
        <row r="14">
          <cell r="B14" t="str">
            <v>11000 — Accounts Receivable</v>
          </cell>
          <cell r="C14" t="str">
            <v>11000</v>
          </cell>
          <cell r="D14" t="str">
            <v>Current Assets</v>
          </cell>
          <cell r="E14" t="str">
            <v>Accounts Receivable</v>
          </cell>
        </row>
        <row r="15">
          <cell r="B15" t="str">
            <v>1200 — Current Asset:1230 — Prepaid Expense</v>
          </cell>
          <cell r="C15" t="str">
            <v>1230</v>
          </cell>
          <cell r="D15" t="str">
            <v>Current Assets</v>
          </cell>
          <cell r="E15" t="str">
            <v>Prepaid Expenses and Other Current Assets</v>
          </cell>
        </row>
        <row r="16">
          <cell r="B16" t="str">
            <v>1240 — Uncategorized Asset</v>
          </cell>
          <cell r="C16" t="str">
            <v>1240</v>
          </cell>
          <cell r="D16" t="str">
            <v>Current Assets</v>
          </cell>
          <cell r="E16" t="str">
            <v>Prepaid Expenses and Other Current Assets</v>
          </cell>
        </row>
        <row r="17">
          <cell r="B17" t="str">
            <v>1245 — Due from Paychex</v>
          </cell>
          <cell r="C17" t="str">
            <v>1245</v>
          </cell>
          <cell r="D17" t="str">
            <v>Current Assets</v>
          </cell>
          <cell r="E17" t="str">
            <v>Prepaid Expenses and Other Current Assets</v>
          </cell>
        </row>
        <row r="18">
          <cell r="B18" t="str">
            <v>1250 — PayPal Account</v>
          </cell>
          <cell r="C18" t="str">
            <v>1250</v>
          </cell>
          <cell r="D18" t="str">
            <v>Current Assets</v>
          </cell>
          <cell r="E18" t="str">
            <v>Cash and Cash Equivelents</v>
          </cell>
        </row>
        <row r="19">
          <cell r="B19" t="str">
            <v>1270 — To Be Reimbursed</v>
          </cell>
          <cell r="C19">
            <v>1270</v>
          </cell>
          <cell r="D19" t="str">
            <v>Current Assets</v>
          </cell>
          <cell r="E19" t="str">
            <v>Accounts Receivable</v>
          </cell>
        </row>
        <row r="20">
          <cell r="B20" t="str">
            <v>1400 — Undeposited Funds</v>
          </cell>
          <cell r="C20" t="str">
            <v>1400</v>
          </cell>
          <cell r="D20" t="str">
            <v>Current Assets</v>
          </cell>
          <cell r="E20" t="str">
            <v>Cash and Cash Equivelents</v>
          </cell>
        </row>
        <row r="21">
          <cell r="B21" t="str">
            <v>1700 — Fixed Asset:1710 — Equipment</v>
          </cell>
          <cell r="C21" t="str">
            <v>1700</v>
          </cell>
          <cell r="D21" t="str">
            <v>Fixed Assets</v>
          </cell>
          <cell r="E21" t="str">
            <v>Equipment</v>
          </cell>
        </row>
        <row r="22">
          <cell r="B22" t="str">
            <v>1700 — Fixed Asset:1715 — Computer</v>
          </cell>
          <cell r="C22" t="str">
            <v>1700</v>
          </cell>
          <cell r="D22" t="str">
            <v>Fixed Assets</v>
          </cell>
          <cell r="E22" t="str">
            <v>Computer Equipment</v>
          </cell>
        </row>
        <row r="23">
          <cell r="B23" t="str">
            <v>1700 — Fixed Asset:1720 — Furniture &amp; Fixtures</v>
          </cell>
          <cell r="C23" t="str">
            <v>1700</v>
          </cell>
          <cell r="D23" t="str">
            <v>Fixed Assets</v>
          </cell>
          <cell r="E23" t="str">
            <v>Furniture and Fixtures</v>
          </cell>
        </row>
        <row r="24">
          <cell r="B24" t="str">
            <v>1700 — Fixed Asset:1730 — Website</v>
          </cell>
          <cell r="C24" t="str">
            <v>1700</v>
          </cell>
          <cell r="D24" t="str">
            <v>Fixed Assets</v>
          </cell>
          <cell r="E24" t="str">
            <v>Website</v>
          </cell>
        </row>
        <row r="25">
          <cell r="B25" t="str">
            <v>1700 — Fixed Asset:1795 — Accumulated Depreciation</v>
          </cell>
          <cell r="C25" t="str">
            <v>1795</v>
          </cell>
          <cell r="D25" t="str">
            <v>Fixed Assets</v>
          </cell>
          <cell r="E25" t="str">
            <v>Accumulated Depreciation</v>
          </cell>
        </row>
        <row r="26">
          <cell r="B26" t="str">
            <v>1900 — Security Deposit</v>
          </cell>
          <cell r="C26" t="str">
            <v>1900</v>
          </cell>
          <cell r="D26" t="str">
            <v>Other Assets</v>
          </cell>
          <cell r="E26" t="str">
            <v>Security Deposits</v>
          </cell>
        </row>
        <row r="27">
          <cell r="B27" t="str">
            <v>1910 — Event Deposits</v>
          </cell>
          <cell r="C27" t="str">
            <v>1910</v>
          </cell>
          <cell r="D27" t="str">
            <v>Other Assets</v>
          </cell>
          <cell r="E27" t="str">
            <v>Event Deposits</v>
          </cell>
        </row>
        <row r="28">
          <cell r="B28" t="str">
            <v>2000 — Short Term Loan:2001 — Short Term Loan Deposits</v>
          </cell>
          <cell r="C28" t="str">
            <v>2000</v>
          </cell>
          <cell r="D28" t="str">
            <v>Current Liabilities</v>
          </cell>
          <cell r="E28" t="str">
            <v>Short Term Loans</v>
          </cell>
        </row>
        <row r="29">
          <cell r="B29" t="str">
            <v>2000 — Short Term Loan:2002 — Short Term Loan Payments</v>
          </cell>
          <cell r="C29" t="str">
            <v>2000</v>
          </cell>
          <cell r="D29" t="str">
            <v>Current Liabilities</v>
          </cell>
          <cell r="E29" t="str">
            <v>Short Term Loans</v>
          </cell>
        </row>
        <row r="30">
          <cell r="B30" t="str">
            <v>20000 — Accounts Payable</v>
          </cell>
          <cell r="C30" t="str">
            <v>20000</v>
          </cell>
          <cell r="D30" t="str">
            <v>Current Liabilities</v>
          </cell>
          <cell r="E30" t="str">
            <v>Accounts Payable</v>
          </cell>
        </row>
        <row r="31">
          <cell r="B31" t="str">
            <v>2005 — Accrued Vacation</v>
          </cell>
          <cell r="C31" t="str">
            <v>2005</v>
          </cell>
          <cell r="D31" t="str">
            <v>Current Liabilities</v>
          </cell>
          <cell r="E31" t="str">
            <v>Accrued Expenses</v>
          </cell>
        </row>
        <row r="32">
          <cell r="B32" t="str">
            <v>2100 — Current Liability:2110 — Accounts Payable</v>
          </cell>
          <cell r="C32" t="str">
            <v>2110</v>
          </cell>
          <cell r="D32" t="str">
            <v>Current Liabilities</v>
          </cell>
          <cell r="E32" t="str">
            <v>Accounts Payable</v>
          </cell>
        </row>
        <row r="33">
          <cell r="B33" t="str">
            <v>2100 — Current Liability:2120 — Accrued Expenses</v>
          </cell>
          <cell r="C33" t="str">
            <v>2120</v>
          </cell>
          <cell r="D33" t="str">
            <v>Current Liabilities</v>
          </cell>
          <cell r="E33" t="str">
            <v>Accrued Expenses</v>
          </cell>
        </row>
        <row r="34">
          <cell r="B34" t="str">
            <v>2100 — Current Liability:2140 — Deferred Membership Revenue</v>
          </cell>
          <cell r="C34" t="str">
            <v>2140</v>
          </cell>
          <cell r="D34" t="str">
            <v>Current Liabilities</v>
          </cell>
          <cell r="E34" t="str">
            <v>Deferred Revenue</v>
          </cell>
        </row>
        <row r="35">
          <cell r="B35" t="str">
            <v>2100 — Current Liability:2150 — Deferred Program Revenue</v>
          </cell>
          <cell r="C35">
            <v>2150</v>
          </cell>
          <cell r="D35" t="str">
            <v>Current Liabilities</v>
          </cell>
          <cell r="E35" t="str">
            <v>Deferred Revenue</v>
          </cell>
        </row>
        <row r="36">
          <cell r="B36" t="str">
            <v>2100 — Current Liability:2190 — Other</v>
          </cell>
          <cell r="C36" t="str">
            <v>2190</v>
          </cell>
          <cell r="D36" t="str">
            <v>Current Liabilities</v>
          </cell>
          <cell r="E36" t="str">
            <v>Other Current Liabilities</v>
          </cell>
        </row>
        <row r="37">
          <cell r="B37" t="str">
            <v>24000 — Payroll Liabilities</v>
          </cell>
          <cell r="C37" t="str">
            <v>24000</v>
          </cell>
          <cell r="D37" t="str">
            <v>Current Liabilities</v>
          </cell>
          <cell r="E37" t="str">
            <v>Other Current Liabilities</v>
          </cell>
        </row>
        <row r="38">
          <cell r="B38" t="str">
            <v>2720 — Due to Matt Swift</v>
          </cell>
          <cell r="C38" t="str">
            <v>2720</v>
          </cell>
          <cell r="D38" t="str">
            <v>Current Liabilities</v>
          </cell>
          <cell r="E38" t="str">
            <v>Due to Founders</v>
          </cell>
        </row>
        <row r="39">
          <cell r="B39" t="str">
            <v>2730 — Due to Nick Logothetis</v>
          </cell>
          <cell r="C39" t="str">
            <v>2730</v>
          </cell>
          <cell r="D39" t="str">
            <v>Current Liabilities</v>
          </cell>
          <cell r="E39" t="str">
            <v>Due to Founders</v>
          </cell>
        </row>
        <row r="40">
          <cell r="B40" t="str">
            <v>32000 — Unrestricted Net Assets</v>
          </cell>
          <cell r="C40" t="str">
            <v>32000</v>
          </cell>
          <cell r="D40" t="str">
            <v>Net Assets</v>
          </cell>
          <cell r="E40" t="str">
            <v>Unrestricted Net Assets</v>
          </cell>
        </row>
        <row r="41">
          <cell r="B41" t="str">
            <v>4000 — Revenue:4100 — Corporate</v>
          </cell>
          <cell r="C41" t="str">
            <v>4100</v>
          </cell>
          <cell r="D41" t="str">
            <v>Revenue</v>
          </cell>
          <cell r="E41" t="str">
            <v>Corporate Support</v>
          </cell>
        </row>
        <row r="42">
          <cell r="B42" t="str">
            <v>4000 — Revenue:4200 — Foundation</v>
          </cell>
          <cell r="C42" t="str">
            <v>4200</v>
          </cell>
          <cell r="D42" t="str">
            <v>Revenue</v>
          </cell>
          <cell r="E42" t="str">
            <v>Foundation Support</v>
          </cell>
        </row>
        <row r="43">
          <cell r="B43" t="str">
            <v>4000 — Revenue:4400 — In-Kind</v>
          </cell>
          <cell r="C43">
            <v>4400</v>
          </cell>
          <cell r="D43" t="str">
            <v>Revenue</v>
          </cell>
          <cell r="E43" t="str">
            <v>In-Kind Support</v>
          </cell>
        </row>
        <row r="44">
          <cell r="B44" t="str">
            <v>4000 — Revenue:4800 — Miscellaneous Income</v>
          </cell>
          <cell r="C44">
            <v>4800</v>
          </cell>
          <cell r="D44" t="str">
            <v>Revenue</v>
          </cell>
          <cell r="E44" t="str">
            <v>Miscellaneous Income</v>
          </cell>
        </row>
        <row r="45">
          <cell r="B45" t="str">
            <v>4000 — Revenue:4850 — Membership dues</v>
          </cell>
          <cell r="C45" t="str">
            <v>4850</v>
          </cell>
          <cell r="D45" t="str">
            <v>Revenue</v>
          </cell>
          <cell r="E45" t="str">
            <v>Membership Revenue</v>
          </cell>
        </row>
        <row r="46">
          <cell r="B46" t="str">
            <v>4000 — Revenue:4890 — Interest Income</v>
          </cell>
          <cell r="C46">
            <v>4890</v>
          </cell>
          <cell r="D46" t="str">
            <v>Revenue</v>
          </cell>
          <cell r="E46" t="str">
            <v>Miscellaneous Income</v>
          </cell>
        </row>
        <row r="47">
          <cell r="B47" t="str">
            <v>6000 — Administrative Expenses:6110 — Accounting</v>
          </cell>
          <cell r="C47" t="str">
            <v>6000</v>
          </cell>
          <cell r="D47" t="str">
            <v>Administrative Expenses</v>
          </cell>
          <cell r="E47" t="str">
            <v>Accounting</v>
          </cell>
        </row>
        <row r="48">
          <cell r="B48" t="str">
            <v>6000 — Administrative Expenses:6120 — Advertising/Promotional</v>
          </cell>
          <cell r="C48" t="str">
            <v>6000</v>
          </cell>
          <cell r="D48" t="str">
            <v>Administrative Expenses</v>
          </cell>
          <cell r="E48" t="str">
            <v>Advertising and Promotional</v>
          </cell>
        </row>
        <row r="49">
          <cell r="B49" t="str">
            <v>6000 — Administrative Expenses:6130 — Bank Fees</v>
          </cell>
          <cell r="C49" t="str">
            <v>6000</v>
          </cell>
          <cell r="D49" t="str">
            <v>Administrative Expenses</v>
          </cell>
          <cell r="E49" t="str">
            <v>Bank Fees and Service Charges</v>
          </cell>
        </row>
        <row r="50">
          <cell r="B50" t="str">
            <v>6000 — Administrative Expenses:6150 — Continuing Education</v>
          </cell>
          <cell r="C50" t="str">
            <v>6000</v>
          </cell>
          <cell r="D50" t="str">
            <v>Administrative Expenses</v>
          </cell>
          <cell r="E50" t="str">
            <v>Other Administrative Expenses</v>
          </cell>
        </row>
        <row r="51">
          <cell r="B51" t="str">
            <v>6000 — Administrative Expenses:6170 — Depreciation Expense</v>
          </cell>
          <cell r="C51" t="str">
            <v>6000</v>
          </cell>
          <cell r="D51" t="str">
            <v>Administrative Expenses</v>
          </cell>
          <cell r="E51" t="str">
            <v>Depreciation Expense</v>
          </cell>
        </row>
        <row r="52">
          <cell r="B52" t="str">
            <v>6000 — Administrative Expenses:6180 — Dues &amp; Subscriptions</v>
          </cell>
          <cell r="C52">
            <v>6000</v>
          </cell>
          <cell r="D52" t="str">
            <v>Administrative Expenses</v>
          </cell>
          <cell r="E52" t="str">
            <v>Other Administrative Expenses</v>
          </cell>
        </row>
        <row r="53">
          <cell r="B53" t="str">
            <v>6000 — Administrative Expenses:6190 — Insurance</v>
          </cell>
          <cell r="C53" t="str">
            <v>6000</v>
          </cell>
          <cell r="D53" t="str">
            <v>Administrative Expenses</v>
          </cell>
          <cell r="E53" t="str">
            <v>Insurance Expense</v>
          </cell>
        </row>
        <row r="54">
          <cell r="B54" t="str">
            <v>6000 — Administrative Expenses:6200 — Interest Expense</v>
          </cell>
          <cell r="C54" t="str">
            <v>6000</v>
          </cell>
          <cell r="D54" t="str">
            <v>Administrative Expenses</v>
          </cell>
          <cell r="E54" t="str">
            <v>Interest Expense</v>
          </cell>
        </row>
        <row r="55">
          <cell r="B55" t="str">
            <v>6000 — Administrative Expenses:6210 — Leasing</v>
          </cell>
          <cell r="C55" t="str">
            <v>6000</v>
          </cell>
          <cell r="D55" t="str">
            <v>Administrative Expenses</v>
          </cell>
          <cell r="E55" t="str">
            <v>Leasing and Rent Expenses</v>
          </cell>
        </row>
        <row r="56">
          <cell r="B56" t="str">
            <v>6000 — Administrative Expenses:6220 — Legal &amp; Professional Fees</v>
          </cell>
          <cell r="C56" t="str">
            <v>6000</v>
          </cell>
          <cell r="D56" t="str">
            <v>Administrative Expenses</v>
          </cell>
          <cell r="E56" t="str">
            <v>Legal and Professional Fees</v>
          </cell>
        </row>
        <row r="57">
          <cell r="B57" t="str">
            <v>6000 — Administrative Expenses:6230 — Meals</v>
          </cell>
          <cell r="C57" t="str">
            <v>6000</v>
          </cell>
          <cell r="D57" t="str">
            <v>Administrative Expenses</v>
          </cell>
          <cell r="E57" t="str">
            <v>Meal Expenses</v>
          </cell>
        </row>
        <row r="58">
          <cell r="B58" t="str">
            <v>6000 — Administrative Expenses:6240 — Printed Materials</v>
          </cell>
          <cell r="C58" t="str">
            <v>6000</v>
          </cell>
          <cell r="D58" t="str">
            <v>Administrative Expenses</v>
          </cell>
          <cell r="E58" t="str">
            <v>Other Administrative Expenses</v>
          </cell>
        </row>
        <row r="59">
          <cell r="B59" t="str">
            <v>6000 — Administrative Expenses:6260 — Shipping &amp; Postage</v>
          </cell>
          <cell r="C59" t="str">
            <v>6000</v>
          </cell>
          <cell r="D59" t="str">
            <v>Administrative Expenses</v>
          </cell>
          <cell r="E59" t="str">
            <v>Shipping and Postage</v>
          </cell>
        </row>
        <row r="60">
          <cell r="B60" t="str">
            <v>6000 — Administrative Expenses:6270 — Space Rental Fees</v>
          </cell>
          <cell r="C60" t="str">
            <v>6000</v>
          </cell>
          <cell r="D60" t="str">
            <v>Administrative Expenses</v>
          </cell>
          <cell r="E60" t="str">
            <v>Other Administrative Expenses</v>
          </cell>
        </row>
        <row r="61">
          <cell r="B61" t="str">
            <v>6000 — Administrative Expenses:6280 — Supplies &amp; Materials</v>
          </cell>
          <cell r="C61" t="str">
            <v>6000</v>
          </cell>
          <cell r="D61" t="str">
            <v>Administrative Expenses</v>
          </cell>
          <cell r="E61" t="str">
            <v>Supplies and Materials</v>
          </cell>
        </row>
        <row r="62">
          <cell r="B62" t="str">
            <v>6000 — Administrative Expenses:6290 — Technology</v>
          </cell>
          <cell r="C62" t="str">
            <v>6000</v>
          </cell>
          <cell r="D62" t="str">
            <v>Administrative Expenses</v>
          </cell>
          <cell r="E62" t="str">
            <v>Technology Expenses</v>
          </cell>
        </row>
        <row r="63">
          <cell r="B63" t="str">
            <v>6000 — Administrative Expenses:6300 — Telephone/Internet</v>
          </cell>
          <cell r="C63" t="str">
            <v>6000</v>
          </cell>
          <cell r="D63" t="str">
            <v>Administrative Expenses</v>
          </cell>
          <cell r="E63" t="str">
            <v>Telephone and Internet</v>
          </cell>
        </row>
        <row r="64">
          <cell r="B64" t="str">
            <v>6000 — Administrative Expenses:6310 — Travel and Lodging</v>
          </cell>
          <cell r="C64" t="str">
            <v>6000</v>
          </cell>
          <cell r="D64" t="str">
            <v>Administrative Expenses</v>
          </cell>
          <cell r="E64" t="str">
            <v>Travel and Lodging</v>
          </cell>
        </row>
        <row r="65">
          <cell r="B65" t="str">
            <v>6000 — Administrative Expenses:6320 — Utilities</v>
          </cell>
          <cell r="C65" t="str">
            <v>6000</v>
          </cell>
          <cell r="D65" t="str">
            <v>Administrative Expenses</v>
          </cell>
          <cell r="E65" t="str">
            <v>Utilities</v>
          </cell>
        </row>
        <row r="66">
          <cell r="B66" t="str">
            <v>6000 — Administrative Expenses:6330 — Website Fees</v>
          </cell>
          <cell r="C66" t="str">
            <v>6000</v>
          </cell>
          <cell r="D66" t="str">
            <v>Administrative Expenses</v>
          </cell>
          <cell r="E66" t="str">
            <v>Website Fees</v>
          </cell>
        </row>
        <row r="67">
          <cell r="B67" t="str">
            <v>6000 — Administrative Expenses:6340 — Miscellaneous</v>
          </cell>
          <cell r="C67" t="str">
            <v>6000</v>
          </cell>
          <cell r="D67" t="str">
            <v>Administrative Expenses</v>
          </cell>
          <cell r="E67" t="str">
            <v>Other Administrative Expenses</v>
          </cell>
        </row>
        <row r="68">
          <cell r="B68" t="str">
            <v>6000 — Administrative Expenses:6350 — Audio Visual</v>
          </cell>
          <cell r="C68">
            <v>6000</v>
          </cell>
          <cell r="D68" t="str">
            <v>Administrative Expenses</v>
          </cell>
          <cell r="E68" t="str">
            <v>Audio Visual</v>
          </cell>
        </row>
        <row r="69">
          <cell r="B69" t="str">
            <v>6000 — Administrative Expenses:6360 — Taxes and Filing Fees</v>
          </cell>
          <cell r="C69">
            <v>6000</v>
          </cell>
          <cell r="D69" t="str">
            <v>Administrative Expenses</v>
          </cell>
          <cell r="E69" t="str">
            <v>Other Administrative Expenses</v>
          </cell>
        </row>
        <row r="70">
          <cell r="B70" t="str">
            <v>6500 — Internships</v>
          </cell>
          <cell r="C70">
            <v>6500</v>
          </cell>
          <cell r="D70" t="str">
            <v>Internships</v>
          </cell>
          <cell r="E70" t="str">
            <v>Internship Costs</v>
          </cell>
        </row>
        <row r="71">
          <cell r="B71" t="str">
            <v>6500 — Internships:6530 — Stipend/Bonus</v>
          </cell>
          <cell r="C71" t="str">
            <v>6500</v>
          </cell>
          <cell r="D71" t="str">
            <v>Internships</v>
          </cell>
          <cell r="E71" t="str">
            <v>Intern Stipends</v>
          </cell>
        </row>
        <row r="72">
          <cell r="B72" t="str">
            <v>6700 — Personnel:6720 — Health Insurance Premiums</v>
          </cell>
          <cell r="C72" t="str">
            <v>6700</v>
          </cell>
          <cell r="D72" t="str">
            <v>Personnel</v>
          </cell>
          <cell r="E72" t="str">
            <v>Benefits and Other Costs</v>
          </cell>
        </row>
        <row r="73">
          <cell r="B73" t="str">
            <v>6700 — Personnel:6730 — HSA</v>
          </cell>
          <cell r="C73" t="str">
            <v>6700</v>
          </cell>
          <cell r="D73" t="str">
            <v>Personnel</v>
          </cell>
          <cell r="E73" t="str">
            <v>Benefits and Other Costs</v>
          </cell>
        </row>
        <row r="74">
          <cell r="B74" t="str">
            <v>6700 — Personnel:6740 — Payroll Taxes</v>
          </cell>
          <cell r="C74" t="str">
            <v>6700</v>
          </cell>
          <cell r="D74" t="str">
            <v>Personnel</v>
          </cell>
          <cell r="E74" t="str">
            <v>Payroll Taxes</v>
          </cell>
        </row>
        <row r="75">
          <cell r="B75" t="str">
            <v>6700 — Personnel:6750 — Salary</v>
          </cell>
          <cell r="C75" t="str">
            <v>6700</v>
          </cell>
          <cell r="D75" t="str">
            <v>Personnel</v>
          </cell>
          <cell r="E75" t="str">
            <v>Salaries</v>
          </cell>
        </row>
        <row r="76">
          <cell r="B76" t="str">
            <v>6700 — Personnel:6760 — W/C Insurance</v>
          </cell>
          <cell r="C76" t="str">
            <v>6700</v>
          </cell>
          <cell r="D76" t="str">
            <v>Personnel</v>
          </cell>
          <cell r="E76" t="str">
            <v>Benefits and Other Costs</v>
          </cell>
        </row>
        <row r="77">
          <cell r="B77" t="str">
            <v>6700 — Personnel:6770 — Transit Check</v>
          </cell>
          <cell r="C77" t="str">
            <v>6700</v>
          </cell>
          <cell r="D77" t="str">
            <v>Personnel</v>
          </cell>
          <cell r="E77" t="str">
            <v>Benefits and Other Costs</v>
          </cell>
        </row>
        <row r="78">
          <cell r="B78" t="str">
            <v>6700 — Personnel:6790 — Payroll Processing Fees</v>
          </cell>
          <cell r="C78" t="str">
            <v>6700</v>
          </cell>
          <cell r="D78" t="str">
            <v>Personnel</v>
          </cell>
          <cell r="E78" t="str">
            <v>Benefits and Other Costs</v>
          </cell>
        </row>
        <row r="79">
          <cell r="B79" t="str">
            <v>6800 — Programming Costs:6810 — Advertising/Promotional</v>
          </cell>
          <cell r="C79">
            <v>6800</v>
          </cell>
          <cell r="D79" t="str">
            <v>Programming Costs</v>
          </cell>
          <cell r="E79" t="str">
            <v>Advertising and Promotional</v>
          </cell>
        </row>
        <row r="80">
          <cell r="B80" t="str">
            <v>6800 — Programming Costs:6820 — Audio Visual</v>
          </cell>
          <cell r="C80" t="str">
            <v>6800</v>
          </cell>
          <cell r="D80" t="str">
            <v>Programming Costs</v>
          </cell>
          <cell r="E80" t="str">
            <v>Audio Visual</v>
          </cell>
        </row>
        <row r="81">
          <cell r="B81" t="str">
            <v>6800 — Programming Costs:6830 — Consultants</v>
          </cell>
          <cell r="C81">
            <v>6800</v>
          </cell>
          <cell r="D81" t="str">
            <v>Programming Costs</v>
          </cell>
          <cell r="E81" t="str">
            <v>Consultants</v>
          </cell>
        </row>
        <row r="82">
          <cell r="B82" t="str">
            <v>6800 — Programming Costs:6850 — Food</v>
          </cell>
          <cell r="C82" t="str">
            <v>6800</v>
          </cell>
          <cell r="D82" t="str">
            <v>Programming Costs</v>
          </cell>
          <cell r="E82" t="str">
            <v>Food and Catering</v>
          </cell>
        </row>
        <row r="83">
          <cell r="B83" t="str">
            <v>6800 — Programming Costs:6860 — Media and Technology</v>
          </cell>
          <cell r="C83" t="str">
            <v>6800</v>
          </cell>
          <cell r="D83" t="str">
            <v>Programming Costs</v>
          </cell>
          <cell r="E83" t="str">
            <v>Media and Technology</v>
          </cell>
        </row>
        <row r="84">
          <cell r="B84" t="str">
            <v>6800 — Programming Costs:6870 — Miscellaneous costs</v>
          </cell>
          <cell r="C84" t="str">
            <v>6800</v>
          </cell>
          <cell r="D84" t="str">
            <v>Programming Costs</v>
          </cell>
          <cell r="E84" t="str">
            <v>Other Programming Costs</v>
          </cell>
        </row>
        <row r="85">
          <cell r="B85" t="str">
            <v>6800 — Programming Costs:6880 — Registration Materials</v>
          </cell>
          <cell r="C85" t="str">
            <v>6800</v>
          </cell>
          <cell r="D85" t="str">
            <v>Programming Costs</v>
          </cell>
          <cell r="E85" t="str">
            <v>Registration Materials</v>
          </cell>
        </row>
        <row r="86">
          <cell r="B86" t="str">
            <v>6800 — Programming Costs:6890 — Space Rental Fees</v>
          </cell>
          <cell r="C86" t="str">
            <v>6800</v>
          </cell>
          <cell r="D86" t="str">
            <v>Programming Costs</v>
          </cell>
          <cell r="E86" t="str">
            <v>Space Rental Fees</v>
          </cell>
        </row>
        <row r="87">
          <cell r="B87" t="str">
            <v>6800 — Programming Costs:6895 — Travel and Lodging</v>
          </cell>
          <cell r="C87" t="str">
            <v>6800</v>
          </cell>
          <cell r="D87" t="str">
            <v>Programming Costs</v>
          </cell>
          <cell r="E87" t="str">
            <v>Travel and Lodging</v>
          </cell>
        </row>
        <row r="88">
          <cell r="B88" t="str">
            <v>6900 — Membership:6910 — Food</v>
          </cell>
          <cell r="C88" t="str">
            <v>6900</v>
          </cell>
          <cell r="D88" t="str">
            <v>Memberships and Fundraising</v>
          </cell>
          <cell r="E88" t="str">
            <v>Food and Catering</v>
          </cell>
        </row>
        <row r="89">
          <cell r="B89" t="str">
            <v>6900 — Membership:6920 — Travel and Lodging</v>
          </cell>
          <cell r="C89" t="str">
            <v>6900</v>
          </cell>
          <cell r="D89" t="str">
            <v>Memberships and Fundraising</v>
          </cell>
          <cell r="E89" t="str">
            <v>Travel and Lodging</v>
          </cell>
        </row>
        <row r="90">
          <cell r="B90" t="str">
            <v>9995 — Prior Period Adjustment</v>
          </cell>
          <cell r="C90" t="str">
            <v>9995</v>
          </cell>
          <cell r="D90" t="str">
            <v>Net Assets</v>
          </cell>
          <cell r="E90" t="str">
            <v>Unrestricted Net Assets</v>
          </cell>
        </row>
        <row r="91">
          <cell r="B91" t="str">
            <v>4100 — Corporate</v>
          </cell>
          <cell r="C91" t="str">
            <v>4100</v>
          </cell>
          <cell r="D91" t="str">
            <v>Revenue</v>
          </cell>
          <cell r="E91" t="str">
            <v>Corporate Support</v>
          </cell>
        </row>
        <row r="92">
          <cell r="B92" t="str">
            <v>4200 — Foundation</v>
          </cell>
          <cell r="C92" t="str">
            <v>4200</v>
          </cell>
          <cell r="D92" t="str">
            <v>Revenue</v>
          </cell>
          <cell r="E92" t="str">
            <v>Foundation Support</v>
          </cell>
        </row>
        <row r="93">
          <cell r="B93" t="str">
            <v>4400 — In-Kind</v>
          </cell>
          <cell r="C93">
            <v>4400</v>
          </cell>
          <cell r="D93" t="str">
            <v>Revenue</v>
          </cell>
          <cell r="E93" t="str">
            <v>In-Kind Support</v>
          </cell>
        </row>
        <row r="94">
          <cell r="B94" t="str">
            <v>4800 — Miscellaneous Income</v>
          </cell>
          <cell r="C94">
            <v>4800</v>
          </cell>
          <cell r="D94" t="str">
            <v>Revenue</v>
          </cell>
          <cell r="E94" t="str">
            <v>Miscellaneous Income</v>
          </cell>
        </row>
        <row r="95">
          <cell r="B95" t="str">
            <v>4850 — Membership dues</v>
          </cell>
          <cell r="C95" t="str">
            <v>4850</v>
          </cell>
          <cell r="D95" t="str">
            <v>Revenue</v>
          </cell>
          <cell r="E95" t="str">
            <v>Membership Revenue</v>
          </cell>
        </row>
        <row r="96">
          <cell r="B96" t="str">
            <v>4890 — Interest Income</v>
          </cell>
          <cell r="C96">
            <v>4890</v>
          </cell>
          <cell r="D96" t="str">
            <v>Revenue</v>
          </cell>
          <cell r="E96" t="str">
            <v>Miscellaneous Income</v>
          </cell>
        </row>
        <row r="97">
          <cell r="B97" t="str">
            <v>6110 — Accounting</v>
          </cell>
          <cell r="C97" t="str">
            <v>6000</v>
          </cell>
          <cell r="D97" t="str">
            <v>Administrative Expenses</v>
          </cell>
          <cell r="E97" t="str">
            <v>Accounting</v>
          </cell>
        </row>
        <row r="98">
          <cell r="B98" t="str">
            <v>6120 — Advertising/Promotional</v>
          </cell>
          <cell r="C98" t="str">
            <v>6000</v>
          </cell>
          <cell r="D98" t="str">
            <v>Administrative Expenses</v>
          </cell>
          <cell r="E98" t="str">
            <v>Advertising and Promotional</v>
          </cell>
        </row>
        <row r="99">
          <cell r="B99" t="str">
            <v>6130 — Bank Fees</v>
          </cell>
          <cell r="C99" t="str">
            <v>6000</v>
          </cell>
          <cell r="D99" t="str">
            <v>Administrative Expenses</v>
          </cell>
          <cell r="E99" t="str">
            <v>Bank Fees and Service Charges</v>
          </cell>
        </row>
        <row r="100">
          <cell r="B100" t="str">
            <v>6150 — Continuing Education</v>
          </cell>
          <cell r="C100" t="str">
            <v>6000</v>
          </cell>
          <cell r="D100" t="str">
            <v>Administrative Expenses</v>
          </cell>
          <cell r="E100" t="str">
            <v>Other Administrative Expenses</v>
          </cell>
        </row>
        <row r="101">
          <cell r="B101" t="str">
            <v>6170 — Depreciation Expense</v>
          </cell>
          <cell r="C101" t="str">
            <v>6000</v>
          </cell>
          <cell r="D101" t="str">
            <v>Administrative Expenses</v>
          </cell>
          <cell r="E101" t="str">
            <v>Depreciation Expense</v>
          </cell>
        </row>
        <row r="102">
          <cell r="B102" t="str">
            <v>6180 — Dues &amp; Subscriptions</v>
          </cell>
          <cell r="C102" t="str">
            <v>6000</v>
          </cell>
          <cell r="D102" t="str">
            <v>Administrative Expenses</v>
          </cell>
          <cell r="E102" t="str">
            <v>Other Administrative Expenses</v>
          </cell>
        </row>
        <row r="103">
          <cell r="B103" t="str">
            <v>6190 — Insurance</v>
          </cell>
          <cell r="C103" t="str">
            <v>6000</v>
          </cell>
          <cell r="D103" t="str">
            <v>Administrative Expenses</v>
          </cell>
          <cell r="E103" t="str">
            <v>Insurance Expense</v>
          </cell>
        </row>
        <row r="104">
          <cell r="B104" t="str">
            <v>6200 — Interest Expense</v>
          </cell>
          <cell r="C104" t="str">
            <v>6000</v>
          </cell>
          <cell r="D104" t="str">
            <v>Administrative Expenses</v>
          </cell>
          <cell r="E104" t="str">
            <v>Interest Expense</v>
          </cell>
        </row>
        <row r="105">
          <cell r="B105" t="str">
            <v>6210 — Leasing</v>
          </cell>
          <cell r="C105" t="str">
            <v>6000</v>
          </cell>
          <cell r="D105" t="str">
            <v>Administrative Expenses</v>
          </cell>
          <cell r="E105" t="str">
            <v>Leasing and Rent Expenses</v>
          </cell>
        </row>
        <row r="106">
          <cell r="B106" t="str">
            <v>6220 — Legal &amp; Professional Fees</v>
          </cell>
          <cell r="C106" t="str">
            <v>6000</v>
          </cell>
          <cell r="D106" t="str">
            <v>Administrative Expenses</v>
          </cell>
          <cell r="E106" t="str">
            <v>Legal and Professional Fees</v>
          </cell>
        </row>
        <row r="107">
          <cell r="B107" t="str">
            <v>6230 — Meals</v>
          </cell>
          <cell r="C107" t="str">
            <v>6000</v>
          </cell>
          <cell r="D107" t="str">
            <v>Administrative Expenses</v>
          </cell>
          <cell r="E107" t="str">
            <v>Meal Expenses</v>
          </cell>
        </row>
        <row r="108">
          <cell r="B108" t="str">
            <v>6240 — Printed Materials</v>
          </cell>
          <cell r="C108" t="str">
            <v>6000</v>
          </cell>
          <cell r="D108" t="str">
            <v>Administrative Expenses</v>
          </cell>
          <cell r="E108" t="str">
            <v>Other Administrative Expenses</v>
          </cell>
        </row>
        <row r="109">
          <cell r="B109" t="str">
            <v>6260 — Shipping &amp; Postage</v>
          </cell>
          <cell r="C109" t="str">
            <v>6000</v>
          </cell>
          <cell r="D109" t="str">
            <v>Administrative Expenses</v>
          </cell>
          <cell r="E109" t="str">
            <v>Shipping and Postage</v>
          </cell>
        </row>
        <row r="110">
          <cell r="B110" t="str">
            <v>6270 — Space Rental Fees</v>
          </cell>
          <cell r="C110" t="str">
            <v>6000</v>
          </cell>
          <cell r="D110" t="str">
            <v>Administrative Expenses</v>
          </cell>
          <cell r="E110" t="str">
            <v>Other Administrative Expenses</v>
          </cell>
        </row>
        <row r="111">
          <cell r="B111" t="str">
            <v>6280 — Supplies &amp; Materials</v>
          </cell>
          <cell r="C111" t="str">
            <v>6000</v>
          </cell>
          <cell r="D111" t="str">
            <v>Administrative Expenses</v>
          </cell>
          <cell r="E111" t="str">
            <v>Supplies and Materials</v>
          </cell>
        </row>
        <row r="112">
          <cell r="B112" t="str">
            <v>6290 — Technology</v>
          </cell>
          <cell r="C112" t="str">
            <v>6000</v>
          </cell>
          <cell r="D112" t="str">
            <v>Administrative Expenses</v>
          </cell>
          <cell r="E112" t="str">
            <v>Technology Expenses</v>
          </cell>
        </row>
        <row r="113">
          <cell r="B113" t="str">
            <v>6300 — Telephone/Internet</v>
          </cell>
          <cell r="C113" t="str">
            <v>6000</v>
          </cell>
          <cell r="D113" t="str">
            <v>Administrative Expenses</v>
          </cell>
          <cell r="E113" t="str">
            <v>Telephone and Internet</v>
          </cell>
        </row>
        <row r="114">
          <cell r="B114" t="str">
            <v>6310 — Travel and Lodging</v>
          </cell>
          <cell r="C114" t="str">
            <v>6000</v>
          </cell>
          <cell r="D114" t="str">
            <v>Administrative Expenses</v>
          </cell>
          <cell r="E114" t="str">
            <v>Travel and Lodging</v>
          </cell>
        </row>
        <row r="115">
          <cell r="B115" t="str">
            <v>6320 — Utilities</v>
          </cell>
          <cell r="C115" t="str">
            <v>6000</v>
          </cell>
          <cell r="D115" t="str">
            <v>Administrative Expenses</v>
          </cell>
          <cell r="E115" t="str">
            <v>Utilities</v>
          </cell>
        </row>
        <row r="116">
          <cell r="B116" t="str">
            <v>6330 — Website Fees</v>
          </cell>
          <cell r="C116" t="str">
            <v>6000</v>
          </cell>
          <cell r="D116" t="str">
            <v>Administrative Expenses</v>
          </cell>
          <cell r="E116" t="str">
            <v>Website Fees</v>
          </cell>
        </row>
        <row r="117">
          <cell r="B117" t="str">
            <v>6340 — Miscellaneous</v>
          </cell>
          <cell r="C117" t="str">
            <v>6000</v>
          </cell>
          <cell r="D117" t="str">
            <v>Administrative Expenses</v>
          </cell>
          <cell r="E117" t="str">
            <v>Other Administrative Expenses</v>
          </cell>
        </row>
        <row r="118">
          <cell r="B118" t="str">
            <v>6360 — Taxes and Filing Fees</v>
          </cell>
          <cell r="C118">
            <v>6000</v>
          </cell>
          <cell r="D118" t="str">
            <v>Administrative Expenses</v>
          </cell>
          <cell r="E118" t="str">
            <v>Other Administrative Expenses</v>
          </cell>
        </row>
        <row r="119">
          <cell r="B119" t="str">
            <v>6530 — Stipend/Bonus</v>
          </cell>
          <cell r="C119" t="str">
            <v>6500</v>
          </cell>
          <cell r="D119" t="str">
            <v>Internships</v>
          </cell>
          <cell r="E119" t="str">
            <v>Intern Stipends</v>
          </cell>
        </row>
        <row r="120">
          <cell r="B120" t="str">
            <v>6500 — Internships - Other</v>
          </cell>
          <cell r="C120" t="str">
            <v>6500</v>
          </cell>
          <cell r="D120" t="str">
            <v>Internships</v>
          </cell>
          <cell r="E120" t="str">
            <v>Intern Stipends</v>
          </cell>
        </row>
        <row r="121">
          <cell r="B121" t="str">
            <v>6720 — Health Insurance Premiums</v>
          </cell>
          <cell r="C121" t="str">
            <v>6700</v>
          </cell>
          <cell r="D121" t="str">
            <v>Personnel</v>
          </cell>
          <cell r="E121" t="str">
            <v>Benefits and Other Costs</v>
          </cell>
        </row>
        <row r="122">
          <cell r="B122" t="str">
            <v>6730 — HSA</v>
          </cell>
          <cell r="C122" t="str">
            <v>6700</v>
          </cell>
          <cell r="D122" t="str">
            <v>Personnel</v>
          </cell>
          <cell r="E122" t="str">
            <v>Benefits and Other Costs</v>
          </cell>
        </row>
        <row r="123">
          <cell r="B123" t="str">
            <v>6740 — Payroll Taxes</v>
          </cell>
          <cell r="C123" t="str">
            <v>6700</v>
          </cell>
          <cell r="D123" t="str">
            <v>Personnel</v>
          </cell>
          <cell r="E123" t="str">
            <v>Payroll Taxes</v>
          </cell>
        </row>
        <row r="124">
          <cell r="B124" t="str">
            <v>6750 — Salary</v>
          </cell>
          <cell r="C124" t="str">
            <v>6700</v>
          </cell>
          <cell r="D124" t="str">
            <v>Personnel</v>
          </cell>
          <cell r="E124" t="str">
            <v>Salaries</v>
          </cell>
        </row>
        <row r="125">
          <cell r="B125" t="str">
            <v>6760 — W/C Insurance</v>
          </cell>
          <cell r="C125" t="str">
            <v>6700</v>
          </cell>
          <cell r="D125" t="str">
            <v>Personnel</v>
          </cell>
          <cell r="E125" t="str">
            <v>Benefits and Other Costs</v>
          </cell>
        </row>
        <row r="126">
          <cell r="B126" t="str">
            <v>6770 — Transit Check</v>
          </cell>
          <cell r="C126" t="str">
            <v>6700</v>
          </cell>
          <cell r="D126" t="str">
            <v>Personnel</v>
          </cell>
          <cell r="E126" t="str">
            <v>Benefits and Other Costs</v>
          </cell>
        </row>
        <row r="127">
          <cell r="B127" t="str">
            <v>6790 — Payroll Processing Fees</v>
          </cell>
          <cell r="C127" t="str">
            <v>6700</v>
          </cell>
          <cell r="D127" t="str">
            <v>Personnel</v>
          </cell>
          <cell r="E127" t="str">
            <v>Benefits and Other Costs</v>
          </cell>
        </row>
        <row r="128">
          <cell r="B128" t="str">
            <v>6810 — Advertising/Promotional</v>
          </cell>
          <cell r="C128">
            <v>6800</v>
          </cell>
          <cell r="D128" t="str">
            <v>Programming Costs</v>
          </cell>
          <cell r="E128" t="str">
            <v>Advertising and Promotional</v>
          </cell>
        </row>
        <row r="129">
          <cell r="B129" t="str">
            <v>6820 — Audio Visual</v>
          </cell>
          <cell r="C129" t="str">
            <v>6800</v>
          </cell>
          <cell r="D129" t="str">
            <v>Programming Costs</v>
          </cell>
          <cell r="E129" t="str">
            <v>Audio Visual</v>
          </cell>
        </row>
        <row r="130">
          <cell r="B130" t="str">
            <v>6830 — Consultants</v>
          </cell>
          <cell r="C130">
            <v>6800</v>
          </cell>
          <cell r="D130" t="str">
            <v>Programming Costs</v>
          </cell>
          <cell r="E130" t="str">
            <v>Consultants</v>
          </cell>
        </row>
        <row r="131">
          <cell r="B131" t="str">
            <v>6850 — Food</v>
          </cell>
          <cell r="C131" t="str">
            <v>6800</v>
          </cell>
          <cell r="D131" t="str">
            <v>Programming Costs</v>
          </cell>
          <cell r="E131" t="str">
            <v>Food and Catering</v>
          </cell>
        </row>
        <row r="132">
          <cell r="B132" t="str">
            <v>6860 — Media and Technology</v>
          </cell>
          <cell r="C132" t="str">
            <v>6800</v>
          </cell>
          <cell r="D132" t="str">
            <v>Programming Costs</v>
          </cell>
          <cell r="E132" t="str">
            <v>Media and Technology</v>
          </cell>
        </row>
        <row r="133">
          <cell r="B133" t="str">
            <v>6870 — Miscellaneous costs</v>
          </cell>
          <cell r="C133" t="str">
            <v>6800</v>
          </cell>
          <cell r="D133" t="str">
            <v>Programming Costs</v>
          </cell>
          <cell r="E133" t="str">
            <v>Other Programming Costs</v>
          </cell>
        </row>
        <row r="134">
          <cell r="B134" t="str">
            <v>6880 — Registration Materials</v>
          </cell>
          <cell r="C134" t="str">
            <v>6800</v>
          </cell>
          <cell r="D134" t="str">
            <v>Programming Costs</v>
          </cell>
          <cell r="E134" t="str">
            <v>Registration Materials</v>
          </cell>
        </row>
        <row r="135">
          <cell r="B135" t="str">
            <v>6890 — Space Rental Fees</v>
          </cell>
          <cell r="C135" t="str">
            <v>6800</v>
          </cell>
          <cell r="D135" t="str">
            <v>Programming Costs</v>
          </cell>
          <cell r="E135" t="str">
            <v>Space Rental Fees</v>
          </cell>
        </row>
        <row r="136">
          <cell r="B136" t="str">
            <v>6895 — Travel and Lodging</v>
          </cell>
          <cell r="C136" t="str">
            <v>6800</v>
          </cell>
          <cell r="D136" t="str">
            <v>Programming Costs</v>
          </cell>
          <cell r="E136" t="str">
            <v>Travel and Lodging</v>
          </cell>
        </row>
        <row r="137">
          <cell r="B137" t="str">
            <v>6910 — Food</v>
          </cell>
          <cell r="C137" t="str">
            <v>6900</v>
          </cell>
          <cell r="D137" t="str">
            <v>Memberships and Fundraising</v>
          </cell>
          <cell r="E137" t="str">
            <v>Food and Catering</v>
          </cell>
        </row>
        <row r="138">
          <cell r="B138" t="str">
            <v>6920 — Travel and Lodging</v>
          </cell>
          <cell r="C138" t="str">
            <v>6900</v>
          </cell>
          <cell r="D138" t="str">
            <v>Memberships and Fundraising</v>
          </cell>
          <cell r="E138" t="str">
            <v>Travel and Lodging</v>
          </cell>
        </row>
        <row r="139">
          <cell r="B139" t="str">
            <v>6940 — Miscellaneous costs</v>
          </cell>
          <cell r="C139" t="str">
            <v>6900</v>
          </cell>
          <cell r="D139" t="str">
            <v>Memberships and Fundraising</v>
          </cell>
          <cell r="E139" t="str">
            <v>Other Costs</v>
          </cell>
        </row>
        <row r="140">
          <cell r="B140" t="str">
            <v>6900 — Membership:6940 — Miscellaneous costs</v>
          </cell>
          <cell r="C140" t="str">
            <v>6900</v>
          </cell>
          <cell r="D140" t="str">
            <v>Memberships and Fundraising</v>
          </cell>
          <cell r="E140" t="str">
            <v>Other Costs</v>
          </cell>
        </row>
        <row r="141">
          <cell r="B141" t="str">
            <v>4500 — Individual</v>
          </cell>
          <cell r="C141" t="str">
            <v>4500</v>
          </cell>
          <cell r="D141" t="str">
            <v>Revenue</v>
          </cell>
          <cell r="E141" t="str">
            <v>Individual Support</v>
          </cell>
        </row>
        <row r="142">
          <cell r="B142" t="str">
            <v>4000 — Revenue:4500 — Individual</v>
          </cell>
          <cell r="C142" t="str">
            <v>4500</v>
          </cell>
          <cell r="D142" t="str">
            <v>Revenue</v>
          </cell>
          <cell r="E142" t="str">
            <v>Individual Support</v>
          </cell>
        </row>
        <row r="143">
          <cell r="B143" t="str">
            <v>6400 — Partnering:6420 — Campaign Development</v>
          </cell>
          <cell r="C143">
            <v>6400</v>
          </cell>
          <cell r="D143" t="str">
            <v>Partnering Costs</v>
          </cell>
          <cell r="E143" t="str">
            <v>Campaign Development</v>
          </cell>
        </row>
        <row r="144">
          <cell r="B144" t="str">
            <v>6400 — Partnering:6430 — Travel &amp; Lodging</v>
          </cell>
          <cell r="C144">
            <v>6400</v>
          </cell>
          <cell r="D144" t="str">
            <v>Partnering Costs</v>
          </cell>
          <cell r="E144" t="str">
            <v>Travel and Lodging</v>
          </cell>
        </row>
        <row r="145">
          <cell r="B145" t="str">
            <v>6600 — Research:6650 — Supplies &amp; Materials</v>
          </cell>
          <cell r="C145">
            <v>6600</v>
          </cell>
          <cell r="D145" t="str">
            <v>Research</v>
          </cell>
          <cell r="E145" t="str">
            <v>Supplies and Materials</v>
          </cell>
        </row>
        <row r="146">
          <cell r="B146" t="str">
            <v>6800 — Programming Costs:6815 — Printed Materials</v>
          </cell>
          <cell r="C146" t="str">
            <v>6800</v>
          </cell>
          <cell r="D146" t="str">
            <v>Programming Costs</v>
          </cell>
          <cell r="E146" t="str">
            <v>Other Programming Costs</v>
          </cell>
        </row>
        <row r="147">
          <cell r="B147" t="str">
            <v>6800 — Programming Costs:6825 — Speaker fees</v>
          </cell>
          <cell r="C147" t="str">
            <v>6800</v>
          </cell>
          <cell r="D147" t="str">
            <v>Programming Costs</v>
          </cell>
          <cell r="E147" t="str">
            <v>Speaker Fees</v>
          </cell>
        </row>
        <row r="148">
          <cell r="B148" t="str">
            <v>6800 — Programming Costs:6840 — Equipment Rental Fees</v>
          </cell>
          <cell r="C148" t="str">
            <v>6800</v>
          </cell>
          <cell r="D148" t="str">
            <v>Programming Costs</v>
          </cell>
          <cell r="E148" t="str">
            <v>Equipment and Supplies Rental</v>
          </cell>
        </row>
        <row r="149">
          <cell r="B149" t="str">
            <v>6800 — Programming Costs:6865 — Supplies &amp; Materials</v>
          </cell>
          <cell r="C149" t="str">
            <v>6800</v>
          </cell>
          <cell r="D149" t="str">
            <v>Programming Costs</v>
          </cell>
          <cell r="E149" t="str">
            <v>Supplies and Materials</v>
          </cell>
        </row>
        <row r="150">
          <cell r="B150" t="str">
            <v>6800 — Programming Costs:6870 — Summit Programming</v>
          </cell>
          <cell r="C150" t="str">
            <v>6800</v>
          </cell>
          <cell r="D150" t="str">
            <v>Programming Costs</v>
          </cell>
          <cell r="E150" t="str">
            <v>Summit Programming Costs</v>
          </cell>
        </row>
        <row r="151">
          <cell r="B151" t="str">
            <v>6800 — Programming Costs:6870 — Summit Programming:6871 — Room Rental</v>
          </cell>
          <cell r="C151" t="str">
            <v>6800</v>
          </cell>
          <cell r="D151" t="str">
            <v>Programming Costs</v>
          </cell>
          <cell r="E151" t="str">
            <v>Summit Programming Costs</v>
          </cell>
        </row>
        <row r="152">
          <cell r="B152" t="str">
            <v>6800 — Programming Costs:6870 — Summit Programming:6872 — Venue Costs</v>
          </cell>
          <cell r="C152" t="str">
            <v>6800</v>
          </cell>
          <cell r="D152" t="str">
            <v>Programming Costs</v>
          </cell>
          <cell r="E152" t="str">
            <v>Summit Programming Costs</v>
          </cell>
        </row>
        <row r="153">
          <cell r="B153" t="str">
            <v>6800 — Programming Costs:6870 — Summit Programming:6874 — Media &amp; Technology</v>
          </cell>
          <cell r="C153" t="str">
            <v>6800</v>
          </cell>
          <cell r="D153" t="str">
            <v>Programming Costs</v>
          </cell>
          <cell r="E153" t="str">
            <v>Summit Programming Costs</v>
          </cell>
        </row>
        <row r="154">
          <cell r="B154" t="str">
            <v>6800 — Programming Costs:6870 — Summit Programming:6877 — Branding &amp; Signage</v>
          </cell>
          <cell r="C154" t="str">
            <v>6800</v>
          </cell>
          <cell r="D154" t="str">
            <v>Programming Costs</v>
          </cell>
          <cell r="E154" t="str">
            <v>Summit Programming Costs</v>
          </cell>
        </row>
        <row r="155">
          <cell r="B155" t="str">
            <v>6800 — Programming Costs:6870 — Summit Programming:6873 — Audio Visual</v>
          </cell>
          <cell r="C155" t="str">
            <v>6800</v>
          </cell>
          <cell r="D155" t="str">
            <v>Programming Costs</v>
          </cell>
          <cell r="E155" t="str">
            <v>Summit Programming Costs</v>
          </cell>
        </row>
        <row r="156">
          <cell r="B156" t="str">
            <v>6800 — Programming Costs:6870 — Summit Programming:6875 — Equipment Rental</v>
          </cell>
          <cell r="C156" t="str">
            <v>6800</v>
          </cell>
          <cell r="D156" t="str">
            <v>Programming Costs</v>
          </cell>
          <cell r="E156" t="str">
            <v>Summit Programming Costs</v>
          </cell>
        </row>
        <row r="157">
          <cell r="B157" t="str">
            <v>6800 — Programming Costs:6870 — Summit Programming:6876 — Consultants &amp; Labor</v>
          </cell>
          <cell r="C157" t="str">
            <v>6800</v>
          </cell>
          <cell r="D157" t="str">
            <v>Programming Costs</v>
          </cell>
          <cell r="E157" t="str">
            <v>Summit Programming Costs</v>
          </cell>
        </row>
        <row r="158">
          <cell r="B158" t="str">
            <v>6800 — Programming Costs:6899 — Miscellaneous costs</v>
          </cell>
          <cell r="C158" t="str">
            <v>6800</v>
          </cell>
          <cell r="D158" t="str">
            <v>Programming Costs</v>
          </cell>
          <cell r="E158" t="str">
            <v>Other Programming Costs</v>
          </cell>
        </row>
        <row r="159">
          <cell r="B159" t="str">
            <v>1255 — Stripe Account</v>
          </cell>
          <cell r="C159">
            <v>1255</v>
          </cell>
          <cell r="D159" t="str">
            <v>Current Assets</v>
          </cell>
          <cell r="E159" t="str">
            <v>Cash and Cash Equivelents</v>
          </cell>
        </row>
        <row r="160">
          <cell r="B160" t="str">
            <v>6000 — Administrative Expenses:6140 — Consultants</v>
          </cell>
          <cell r="C160">
            <v>6000</v>
          </cell>
          <cell r="D160" t="str">
            <v>Administrative Expenses</v>
          </cell>
          <cell r="E160" t="str">
            <v>Other Administrative Expenses</v>
          </cell>
        </row>
        <row r="161">
          <cell r="B161" t="str">
            <v>6000 — Administrative Expenses:6155 — Seminars &amp; Meetings</v>
          </cell>
          <cell r="C161">
            <v>6000</v>
          </cell>
          <cell r="D161" t="str">
            <v>Administrative Expenses</v>
          </cell>
          <cell r="E161" t="str">
            <v>Other Administrative Expenses</v>
          </cell>
        </row>
        <row r="162">
          <cell r="B162" t="str">
            <v>6800 — Programming Costs:6811 — Branding/Signage</v>
          </cell>
          <cell r="C162" t="str">
            <v>6800</v>
          </cell>
          <cell r="D162" t="str">
            <v>Programming Costs</v>
          </cell>
          <cell r="E162" t="str">
            <v>Branding and Signage</v>
          </cell>
        </row>
        <row r="163">
          <cell r="B163" t="str">
            <v>6800 — Programming Costs:6829 — Event Management &amp; Logistics</v>
          </cell>
          <cell r="C163" t="str">
            <v>6800</v>
          </cell>
          <cell r="D163" t="str">
            <v>Programming Costs</v>
          </cell>
          <cell r="E163" t="str">
            <v>Event Management and Logistics</v>
          </cell>
        </row>
        <row r="164">
          <cell r="B164" t="str">
            <v>6800 — Programming Costs:6830 — Consultants- Operations</v>
          </cell>
          <cell r="C164" t="str">
            <v>6800</v>
          </cell>
          <cell r="D164" t="str">
            <v>Programming Costs</v>
          </cell>
          <cell r="E164" t="str">
            <v>Consultants - Operations</v>
          </cell>
        </row>
        <row r="165">
          <cell r="B165" t="str">
            <v>6800 — Programming Costs:6831 — Contractors- Event Logistics</v>
          </cell>
          <cell r="C165" t="str">
            <v>6800</v>
          </cell>
          <cell r="D165" t="str">
            <v>Programming Costs</v>
          </cell>
          <cell r="E165" t="str">
            <v>Contractors - Event Logistics</v>
          </cell>
        </row>
        <row r="166">
          <cell r="B166" t="str">
            <v>6800 — Programming Costs:6841 — Supplies &amp; Furniture Rental</v>
          </cell>
          <cell r="C166" t="str">
            <v>6800</v>
          </cell>
          <cell r="D166" t="str">
            <v>Programming Costs</v>
          </cell>
          <cell r="E166" t="str">
            <v>Equipment and Supplies Rental</v>
          </cell>
        </row>
        <row r="167">
          <cell r="B167" t="str">
            <v>6800 — Programming Costs:6850 — Food/Meals</v>
          </cell>
          <cell r="C167" t="str">
            <v>6800</v>
          </cell>
          <cell r="D167" t="str">
            <v>Programming Costs</v>
          </cell>
          <cell r="E167" t="str">
            <v>Food and Catering</v>
          </cell>
        </row>
        <row r="168">
          <cell r="B168" t="str">
            <v>6800 — Programming Costs:6851 — Catering</v>
          </cell>
          <cell r="C168" t="str">
            <v>6800</v>
          </cell>
          <cell r="D168" t="str">
            <v>Programming Costs</v>
          </cell>
          <cell r="E168" t="str">
            <v>Food and Catering</v>
          </cell>
        </row>
        <row r="169">
          <cell r="B169" t="str">
            <v>6800 — Programming Costs:6861 — Photography</v>
          </cell>
          <cell r="C169" t="str">
            <v>6800</v>
          </cell>
          <cell r="D169" t="str">
            <v>Programming Costs</v>
          </cell>
          <cell r="E169" t="str">
            <v>Photography</v>
          </cell>
        </row>
        <row r="170">
          <cell r="B170" t="str">
            <v>6400 — Partnering:6440 — Seminars &amp; Meetings</v>
          </cell>
          <cell r="C170">
            <v>6400</v>
          </cell>
          <cell r="D170" t="str">
            <v>Partnering Costs</v>
          </cell>
          <cell r="E170" t="str">
            <v>Seminars and Meetings</v>
          </cell>
        </row>
        <row r="171">
          <cell r="B171" t="str">
            <v>6140 — Consultants</v>
          </cell>
          <cell r="C171">
            <v>6000</v>
          </cell>
          <cell r="D171" t="str">
            <v>Administrative Expenses</v>
          </cell>
          <cell r="E171" t="str">
            <v>Other Administrative Expenses</v>
          </cell>
        </row>
        <row r="172">
          <cell r="B172" t="str">
            <v>6155 — Seminars &amp; Meetings</v>
          </cell>
          <cell r="C172" t="str">
            <v>6000</v>
          </cell>
          <cell r="D172" t="str">
            <v>Administrative Expenses</v>
          </cell>
          <cell r="E172" t="str">
            <v>Other Administrative Expenses</v>
          </cell>
        </row>
        <row r="173">
          <cell r="B173" t="str">
            <v>6420 — Campaign Development</v>
          </cell>
          <cell r="C173">
            <v>6400</v>
          </cell>
          <cell r="D173" t="str">
            <v>Partnering Costs</v>
          </cell>
          <cell r="E173" t="str">
            <v>Campaign Development</v>
          </cell>
        </row>
        <row r="174">
          <cell r="B174" t="str">
            <v>6430 — Travel &amp; Lodging</v>
          </cell>
          <cell r="C174">
            <v>6400</v>
          </cell>
          <cell r="D174" t="str">
            <v>Partnering Costs</v>
          </cell>
          <cell r="E174" t="str">
            <v>Travel and Lodging</v>
          </cell>
        </row>
        <row r="175">
          <cell r="B175" t="str">
            <v>6440 — Seminars &amp; Meetings</v>
          </cell>
          <cell r="C175">
            <v>6400</v>
          </cell>
          <cell r="D175" t="str">
            <v>Partnering Costs</v>
          </cell>
          <cell r="E175" t="str">
            <v>Seminars and Meetings</v>
          </cell>
        </row>
        <row r="176">
          <cell r="B176" t="str">
            <v>6811 — Branding/Signage</v>
          </cell>
          <cell r="C176" t="str">
            <v>6800</v>
          </cell>
          <cell r="D176" t="str">
            <v>Programming Costs</v>
          </cell>
          <cell r="E176" t="str">
            <v>Branding and Signage</v>
          </cell>
        </row>
        <row r="177">
          <cell r="B177" t="str">
            <v>6815 — Printed Materials</v>
          </cell>
          <cell r="C177" t="str">
            <v>6800</v>
          </cell>
          <cell r="D177" t="str">
            <v>Programming Costs</v>
          </cell>
          <cell r="E177" t="str">
            <v>Other Programming Costs</v>
          </cell>
        </row>
        <row r="178">
          <cell r="B178" t="str">
            <v>6825 — Speaker fees</v>
          </cell>
          <cell r="C178" t="str">
            <v>6800</v>
          </cell>
          <cell r="D178" t="str">
            <v>Programming Costs</v>
          </cell>
          <cell r="E178" t="str">
            <v>Speaker Fees</v>
          </cell>
        </row>
        <row r="179">
          <cell r="B179" t="str">
            <v>6829 — Event Management &amp; Logistics</v>
          </cell>
          <cell r="C179" t="str">
            <v>6800</v>
          </cell>
          <cell r="D179" t="str">
            <v>Programming Costs</v>
          </cell>
          <cell r="E179" t="str">
            <v>Event Management and Logistics</v>
          </cell>
        </row>
        <row r="180">
          <cell r="B180" t="str">
            <v>6830 — Consultants- Operations</v>
          </cell>
          <cell r="C180" t="str">
            <v>6800</v>
          </cell>
          <cell r="D180" t="str">
            <v>Programming Costs</v>
          </cell>
          <cell r="E180" t="str">
            <v>Consultants - Operations</v>
          </cell>
        </row>
        <row r="181">
          <cell r="B181" t="str">
            <v>6831 — Contractors- Event Logistics</v>
          </cell>
          <cell r="C181" t="str">
            <v>6800</v>
          </cell>
          <cell r="D181" t="str">
            <v>Programming Costs</v>
          </cell>
          <cell r="E181" t="str">
            <v>Contractors - Event Logistics</v>
          </cell>
        </row>
        <row r="182">
          <cell r="B182" t="str">
            <v>6840 — Equipment Rental Fees</v>
          </cell>
          <cell r="C182" t="str">
            <v>6800</v>
          </cell>
          <cell r="D182" t="str">
            <v>Programming Costs</v>
          </cell>
          <cell r="E182" t="str">
            <v>Equipment and Supplies Rental</v>
          </cell>
        </row>
        <row r="183">
          <cell r="B183" t="str">
            <v>6841 — Supplies &amp; Furniture Rental</v>
          </cell>
          <cell r="C183" t="str">
            <v>6800</v>
          </cell>
          <cell r="D183" t="str">
            <v>Programming Costs</v>
          </cell>
          <cell r="E183" t="str">
            <v>Equipment and Supplies Rental</v>
          </cell>
        </row>
        <row r="184">
          <cell r="B184" t="str">
            <v>6850 — Food/Meals</v>
          </cell>
          <cell r="C184" t="str">
            <v>6800</v>
          </cell>
          <cell r="D184" t="str">
            <v>Programming Costs</v>
          </cell>
          <cell r="E184" t="str">
            <v>Food and Catering</v>
          </cell>
        </row>
        <row r="185">
          <cell r="B185" t="str">
            <v>6851 — Catering</v>
          </cell>
          <cell r="C185" t="str">
            <v>6800</v>
          </cell>
          <cell r="D185" t="str">
            <v>Programming Costs</v>
          </cell>
          <cell r="E185" t="str">
            <v>Food and Catering</v>
          </cell>
        </row>
        <row r="186">
          <cell r="B186" t="str">
            <v>6861 — Photography</v>
          </cell>
          <cell r="C186" t="str">
            <v>6800</v>
          </cell>
          <cell r="D186" t="str">
            <v>Programming Costs</v>
          </cell>
          <cell r="E186" t="str">
            <v>Photography</v>
          </cell>
        </row>
        <row r="187">
          <cell r="B187" t="str">
            <v>6865 — Supplies &amp; Materials</v>
          </cell>
          <cell r="C187" t="str">
            <v>6800</v>
          </cell>
          <cell r="D187" t="str">
            <v>Programming Costs</v>
          </cell>
          <cell r="E187" t="str">
            <v>Supplies and Materials</v>
          </cell>
        </row>
        <row r="188">
          <cell r="B188" t="str">
            <v>6865 — Supplies &amp; Materials</v>
          </cell>
          <cell r="C188" t="str">
            <v>6800</v>
          </cell>
          <cell r="D188" t="str">
            <v>Programming Costs</v>
          </cell>
          <cell r="E188" t="str">
            <v>Supplies and Materials</v>
          </cell>
        </row>
        <row r="189">
          <cell r="B189" t="str">
            <v>6899 — Miscellaneous costs</v>
          </cell>
          <cell r="C189" t="str">
            <v>6800</v>
          </cell>
          <cell r="D189" t="str">
            <v>Programming Costs</v>
          </cell>
          <cell r="E189" t="str">
            <v>Other Programming Costs</v>
          </cell>
        </row>
        <row r="190">
          <cell r="B190" t="str">
            <v>2400 — Payroll Liabilities</v>
          </cell>
          <cell r="C190" t="str">
            <v>2400</v>
          </cell>
          <cell r="D190" t="str">
            <v>Current Liabilities</v>
          </cell>
          <cell r="E190" t="str">
            <v>Accrued Expenses</v>
          </cell>
        </row>
        <row r="191">
          <cell r="B191" t="str">
            <v>2400 — Payroll Liabilities:2410 — TransitChek Payable</v>
          </cell>
          <cell r="C191" t="str">
            <v>2400</v>
          </cell>
          <cell r="D191" t="str">
            <v>Current Liabilities</v>
          </cell>
          <cell r="E191" t="str">
            <v>Accrued Expenses</v>
          </cell>
        </row>
        <row r="192">
          <cell r="B192" t="str">
            <v>2400 — Payroll Liabilities:2430 — NY Disability</v>
          </cell>
          <cell r="C192" t="str">
            <v>2400</v>
          </cell>
          <cell r="D192" t="str">
            <v>Current Liabilities</v>
          </cell>
          <cell r="E192" t="str">
            <v>Accrued Expenses</v>
          </cell>
        </row>
        <row r="193">
          <cell r="B193" t="str">
            <v>6700 — Personnel:6701 — Salary</v>
          </cell>
          <cell r="C193" t="str">
            <v>6700</v>
          </cell>
          <cell r="D193" t="str">
            <v>Personnel</v>
          </cell>
          <cell r="E193" t="str">
            <v>Salaries</v>
          </cell>
        </row>
        <row r="194">
          <cell r="B194" t="str">
            <v>6400 — Partnering:6460 — Food/Meals</v>
          </cell>
          <cell r="C194" t="str">
            <v>6400</v>
          </cell>
          <cell r="D194" t="str">
            <v>Partnering Costs</v>
          </cell>
          <cell r="E194" t="str">
            <v>Meal Expenses</v>
          </cell>
        </row>
        <row r="195">
          <cell r="B195" t="str">
            <v>6701 — Salary</v>
          </cell>
          <cell r="C195" t="str">
            <v>6700</v>
          </cell>
          <cell r="D195" t="str">
            <v>Personnel</v>
          </cell>
          <cell r="E195" t="str">
            <v>Salaries</v>
          </cell>
        </row>
        <row r="196">
          <cell r="B196" t="str">
            <v>6460 — Food/Meals</v>
          </cell>
          <cell r="C196" t="str">
            <v>6400</v>
          </cell>
          <cell r="D196" t="str">
            <v>Partnering Costs</v>
          </cell>
          <cell r="E196" t="str">
            <v>Meal Expenses</v>
          </cell>
        </row>
        <row r="197">
          <cell r="B197" t="str">
            <v>1100 — Other Misc. Expense</v>
          </cell>
          <cell r="C197">
            <v>9999</v>
          </cell>
          <cell r="D197" t="str">
            <v>Other Expenses</v>
          </cell>
          <cell r="E197" t="str">
            <v>AmEx To Be Allocated</v>
          </cell>
        </row>
        <row r="198">
          <cell r="B198" t="str">
            <v>6700 — Personnel:6710 — Accrued Vacation</v>
          </cell>
          <cell r="C198" t="str">
            <v>6700</v>
          </cell>
          <cell r="D198" t="str">
            <v>Personnel</v>
          </cell>
          <cell r="E198" t="str">
            <v>Benefits and Other Costs</v>
          </cell>
        </row>
        <row r="199">
          <cell r="B199" t="str">
            <v>2000 — Short Term Loan</v>
          </cell>
          <cell r="C199" t="str">
            <v>2000</v>
          </cell>
          <cell r="D199" t="str">
            <v>Current Liabilities</v>
          </cell>
          <cell r="E199" t="str">
            <v>Short Term Loans</v>
          </cell>
        </row>
        <row r="200">
          <cell r="B200" t="str">
            <v>6600 — Research:6680 — Tools &amp; Software</v>
          </cell>
          <cell r="C200">
            <v>6600</v>
          </cell>
          <cell r="D200" t="str">
            <v>Research</v>
          </cell>
          <cell r="E200" t="str">
            <v>Tools and Software</v>
          </cell>
        </row>
        <row r="201">
          <cell r="B201" t="str">
            <v>6680 — Tools &amp; Software</v>
          </cell>
          <cell r="C201">
            <v>6600</v>
          </cell>
          <cell r="D201" t="str">
            <v>Research</v>
          </cell>
          <cell r="E201" t="str">
            <v>Tools and Software</v>
          </cell>
        </row>
        <row r="202">
          <cell r="B202" t="str">
            <v>6710 — Accrued Vacation</v>
          </cell>
          <cell r="C202" t="str">
            <v>6710</v>
          </cell>
          <cell r="D202" t="str">
            <v>Personnel</v>
          </cell>
          <cell r="E202" t="str">
            <v>Benefits and Other Costs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77">
          <cell r="B77">
            <v>2011</v>
          </cell>
        </row>
      </sheetData>
      <sheetData sheetId="12">
        <row r="1">
          <cell r="A1" t="str">
            <v>Concordia</v>
          </cell>
          <cell r="D1" t="str">
            <v>10:03 AM</v>
          </cell>
        </row>
        <row r="2">
          <cell r="A2" t="str">
            <v>Trial Balance</v>
          </cell>
          <cell r="D2" t="str">
            <v>05/02/16</v>
          </cell>
        </row>
        <row r="3">
          <cell r="A3" t="str">
            <v>As of December 31, 2016</v>
          </cell>
          <cell r="D3" t="str">
            <v>Accrual Basis</v>
          </cell>
        </row>
        <row r="4">
          <cell r="C4" t="str">
            <v>May 31, '16</v>
          </cell>
        </row>
        <row r="5">
          <cell r="A5" t="str">
            <v>Number</v>
          </cell>
          <cell r="B5" t="str">
            <v>Account</v>
          </cell>
          <cell r="C5" t="str">
            <v>Debit</v>
          </cell>
          <cell r="D5" t="str">
            <v>Credit</v>
          </cell>
          <cell r="E5" t="str">
            <v>Amount</v>
          </cell>
        </row>
        <row r="6">
          <cell r="A6" t="str">
            <v>1010</v>
          </cell>
          <cell r="B6" t="str">
            <v>1010 — Chase Savings</v>
          </cell>
          <cell r="C6">
            <v>0</v>
          </cell>
          <cell r="E6">
            <v>0</v>
          </cell>
        </row>
        <row r="7">
          <cell r="A7" t="str">
            <v>1020</v>
          </cell>
          <cell r="B7" t="str">
            <v>1020 — Chase Checking</v>
          </cell>
          <cell r="C7">
            <v>405166</v>
          </cell>
          <cell r="E7">
            <v>405166</v>
          </cell>
        </row>
        <row r="8">
          <cell r="A8" t="str">
            <v>11000</v>
          </cell>
          <cell r="B8" t="str">
            <v>11000 — Accounts Receivable</v>
          </cell>
          <cell r="C8">
            <v>559000</v>
          </cell>
          <cell r="E8">
            <v>559000</v>
          </cell>
        </row>
        <row r="9">
          <cell r="A9" t="str">
            <v>1230</v>
          </cell>
          <cell r="B9" t="str">
            <v>1200 — Current Asset:1230 — Prepaid Expense</v>
          </cell>
          <cell r="C9">
            <v>1161</v>
          </cell>
          <cell r="E9">
            <v>1161</v>
          </cell>
        </row>
        <row r="10">
          <cell r="A10" t="str">
            <v>1240</v>
          </cell>
          <cell r="B10" t="str">
            <v>1240 — Uncategorized Asset</v>
          </cell>
          <cell r="E10">
            <v>0</v>
          </cell>
        </row>
        <row r="11">
          <cell r="A11" t="str">
            <v>1245</v>
          </cell>
          <cell r="B11" t="str">
            <v>1245 — Due from Paychex</v>
          </cell>
          <cell r="C11">
            <v>459</v>
          </cell>
          <cell r="E11">
            <v>459</v>
          </cell>
        </row>
        <row r="12">
          <cell r="A12" t="str">
            <v>1250</v>
          </cell>
          <cell r="B12" t="str">
            <v>1250 — PayPal Account</v>
          </cell>
          <cell r="C12">
            <v>3398</v>
          </cell>
          <cell r="E12">
            <v>3398</v>
          </cell>
        </row>
        <row r="13">
          <cell r="A13">
            <v>1255</v>
          </cell>
          <cell r="B13" t="str">
            <v>1255 — Stripe Account</v>
          </cell>
          <cell r="C13">
            <v>1000</v>
          </cell>
          <cell r="E13">
            <v>1000</v>
          </cell>
        </row>
        <row r="14">
          <cell r="A14">
            <v>1270</v>
          </cell>
          <cell r="B14" t="str">
            <v>1270 — To Be Reimbursed</v>
          </cell>
          <cell r="C14">
            <v>914</v>
          </cell>
          <cell r="E14">
            <v>914</v>
          </cell>
        </row>
        <row r="15">
          <cell r="A15" t="str">
            <v>1400</v>
          </cell>
          <cell r="B15" t="str">
            <v>1400 — Undeposited Funds</v>
          </cell>
          <cell r="E15">
            <v>0</v>
          </cell>
        </row>
        <row r="16">
          <cell r="A16" t="str">
            <v>1700</v>
          </cell>
          <cell r="B16" t="str">
            <v>1700 — Fixed Asset:1710 — Equipment</v>
          </cell>
          <cell r="C16">
            <v>3863</v>
          </cell>
          <cell r="E16">
            <v>3863</v>
          </cell>
        </row>
        <row r="17">
          <cell r="A17" t="str">
            <v>1700</v>
          </cell>
          <cell r="B17" t="str">
            <v>1700 — Fixed Asset:1715 — Computer</v>
          </cell>
          <cell r="C17">
            <v>23872</v>
          </cell>
          <cell r="E17">
            <v>23872</v>
          </cell>
        </row>
        <row r="18">
          <cell r="A18" t="str">
            <v>1700</v>
          </cell>
          <cell r="B18" t="str">
            <v>1700 — Fixed Asset:1720 — Furniture &amp; Fixtures</v>
          </cell>
          <cell r="C18">
            <v>2648</v>
          </cell>
          <cell r="E18">
            <v>2648</v>
          </cell>
        </row>
        <row r="19">
          <cell r="A19" t="str">
            <v>1700</v>
          </cell>
          <cell r="B19" t="str">
            <v>1700 — Fixed Asset:1730 — Website</v>
          </cell>
          <cell r="C19">
            <v>51498</v>
          </cell>
          <cell r="E19">
            <v>51498</v>
          </cell>
        </row>
        <row r="20">
          <cell r="A20" t="str">
            <v>1795</v>
          </cell>
          <cell r="B20" t="str">
            <v>1700 — Fixed Asset:1795 — Accumulated Depreciation</v>
          </cell>
          <cell r="D20">
            <v>18043</v>
          </cell>
          <cell r="E20">
            <v>-18043</v>
          </cell>
        </row>
        <row r="21">
          <cell r="A21" t="str">
            <v>1900</v>
          </cell>
          <cell r="B21" t="str">
            <v>1900 — Security Deposit</v>
          </cell>
          <cell r="C21">
            <v>28800</v>
          </cell>
          <cell r="E21">
            <v>28800</v>
          </cell>
        </row>
        <row r="22">
          <cell r="A22" t="str">
            <v>1910</v>
          </cell>
          <cell r="B22" t="str">
            <v>1910 — Event Deposits</v>
          </cell>
          <cell r="C22">
            <v>0</v>
          </cell>
          <cell r="E22">
            <v>0</v>
          </cell>
        </row>
        <row r="23">
          <cell r="A23" t="str">
            <v>20000</v>
          </cell>
          <cell r="B23" t="str">
            <v>20000 — Accounts Payable</v>
          </cell>
          <cell r="D23">
            <v>705973</v>
          </cell>
          <cell r="E23">
            <v>-705973</v>
          </cell>
        </row>
        <row r="24">
          <cell r="A24" t="str">
            <v>1030</v>
          </cell>
          <cell r="B24" t="str">
            <v>1030 — Chase Credit Card</v>
          </cell>
          <cell r="D24">
            <v>24246</v>
          </cell>
          <cell r="E24">
            <v>-24246</v>
          </cell>
        </row>
        <row r="25">
          <cell r="A25" t="str">
            <v>1030</v>
          </cell>
          <cell r="B25" t="str">
            <v>1030 — Chase Credit Card:1040 — Matthew Swift CC</v>
          </cell>
          <cell r="E25">
            <v>0</v>
          </cell>
        </row>
        <row r="26">
          <cell r="A26" t="str">
            <v>1030</v>
          </cell>
          <cell r="B26" t="str">
            <v>1030 — Chase Credit Card:1050 — Nicholas Logothetis CC</v>
          </cell>
          <cell r="E26">
            <v>0</v>
          </cell>
        </row>
        <row r="27">
          <cell r="A27" t="str">
            <v>1030</v>
          </cell>
          <cell r="B27" t="str">
            <v>1030 — Chase Credit Card:1060 — Regina Hubard CC</v>
          </cell>
          <cell r="E27">
            <v>0</v>
          </cell>
        </row>
        <row r="28">
          <cell r="A28" t="str">
            <v>1030</v>
          </cell>
          <cell r="B28" t="str">
            <v>1030 — Chase Credit Card:1070 — Natalie Pregibon CC</v>
          </cell>
          <cell r="E28">
            <v>0</v>
          </cell>
        </row>
        <row r="29">
          <cell r="A29" t="str">
            <v>1030</v>
          </cell>
          <cell r="B29" t="str">
            <v>1030 — Chase Credit Card:1080 — Maria Correa CC</v>
          </cell>
          <cell r="E29">
            <v>0</v>
          </cell>
        </row>
        <row r="30">
          <cell r="A30" t="str">
            <v>1030</v>
          </cell>
          <cell r="B30" t="str">
            <v>1030 — Chase Credit Card:1090-1 — Sheri Singer CC</v>
          </cell>
          <cell r="E30">
            <v>0</v>
          </cell>
        </row>
        <row r="31">
          <cell r="A31" t="str">
            <v>1030</v>
          </cell>
          <cell r="B31" t="str">
            <v>1030 — Chase Credit Card:1090 — Reed Dunn CC</v>
          </cell>
          <cell r="E31">
            <v>0</v>
          </cell>
        </row>
        <row r="32">
          <cell r="A32" t="str">
            <v>1031</v>
          </cell>
          <cell r="B32" t="str">
            <v>1031 — Capital One Card:1032 — Capital One</v>
          </cell>
          <cell r="E32">
            <v>0</v>
          </cell>
        </row>
        <row r="33">
          <cell r="A33" t="str">
            <v>1035</v>
          </cell>
          <cell r="B33" t="str">
            <v>1035 — American Express</v>
          </cell>
          <cell r="D33">
            <v>53226</v>
          </cell>
          <cell r="E33">
            <v>-53226</v>
          </cell>
        </row>
        <row r="34">
          <cell r="A34" t="str">
            <v>2000</v>
          </cell>
          <cell r="B34" t="str">
            <v>2000 — Short Term Loan</v>
          </cell>
          <cell r="C34">
            <v>250000</v>
          </cell>
          <cell r="E34">
            <v>250000</v>
          </cell>
        </row>
        <row r="35">
          <cell r="A35" t="str">
            <v>2000</v>
          </cell>
          <cell r="B35" t="str">
            <v>2000 — Short Term Loan:2001 — Short Term Loan Deposits</v>
          </cell>
          <cell r="D35">
            <v>716200</v>
          </cell>
          <cell r="E35">
            <v>-716200</v>
          </cell>
        </row>
        <row r="36">
          <cell r="A36" t="str">
            <v>2000</v>
          </cell>
          <cell r="B36" t="str">
            <v>2000 — Short Term Loan:2002 — Short Term Loan Payments</v>
          </cell>
          <cell r="C36">
            <v>466200</v>
          </cell>
          <cell r="E36">
            <v>466200</v>
          </cell>
        </row>
        <row r="37">
          <cell r="A37" t="str">
            <v>2005</v>
          </cell>
          <cell r="B37" t="str">
            <v>2005 — Accrued Vacation</v>
          </cell>
          <cell r="D37">
            <v>7943</v>
          </cell>
          <cell r="E37">
            <v>-7943</v>
          </cell>
        </row>
        <row r="38">
          <cell r="A38" t="str">
            <v>2110</v>
          </cell>
          <cell r="B38" t="str">
            <v>2100 — Current Liability:2110 — Accounts Payable</v>
          </cell>
          <cell r="E38">
            <v>0</v>
          </cell>
        </row>
        <row r="39">
          <cell r="A39" t="str">
            <v>2120</v>
          </cell>
          <cell r="B39" t="str">
            <v>2100 — Current Liability:2120 — Accrued Expenses</v>
          </cell>
          <cell r="E39">
            <v>0</v>
          </cell>
        </row>
        <row r="40">
          <cell r="A40">
            <v>2150</v>
          </cell>
          <cell r="B40" t="str">
            <v>2100 — Current Liability:2150 — Deferred Program Revenue</v>
          </cell>
          <cell r="E40">
            <v>0</v>
          </cell>
        </row>
        <row r="41">
          <cell r="A41" t="str">
            <v>2190</v>
          </cell>
          <cell r="B41" t="str">
            <v>2100 — Current Liability:2190 — Other</v>
          </cell>
          <cell r="E41">
            <v>0</v>
          </cell>
        </row>
        <row r="42">
          <cell r="A42" t="str">
            <v>2140</v>
          </cell>
          <cell r="B42" t="str">
            <v>2100 — Current Liability:2140 — Deferred Membership Revenue</v>
          </cell>
          <cell r="D42">
            <v>52300</v>
          </cell>
          <cell r="E42">
            <v>-52300</v>
          </cell>
        </row>
        <row r="43">
          <cell r="A43" t="str">
            <v>2400</v>
          </cell>
          <cell r="B43" t="str">
            <v>2400 — Payroll Liabilities</v>
          </cell>
          <cell r="E43">
            <v>0</v>
          </cell>
        </row>
        <row r="44">
          <cell r="A44" t="str">
            <v>2400</v>
          </cell>
          <cell r="B44" t="str">
            <v>2400 — Payroll Liabilities:2410 — TransitChek Payable</v>
          </cell>
          <cell r="E44">
            <v>0</v>
          </cell>
        </row>
        <row r="45">
          <cell r="A45" t="str">
            <v>2400</v>
          </cell>
          <cell r="B45" t="str">
            <v>2400 — Payroll Liabilities:2430 — NY Disability</v>
          </cell>
          <cell r="D45">
            <v>61</v>
          </cell>
          <cell r="E45">
            <v>-61</v>
          </cell>
        </row>
        <row r="46">
          <cell r="A46" t="str">
            <v>2720</v>
          </cell>
          <cell r="B46" t="str">
            <v>2720 — Due to Matt Swift</v>
          </cell>
          <cell r="E46">
            <v>0</v>
          </cell>
        </row>
        <row r="47">
          <cell r="A47" t="str">
            <v>2730</v>
          </cell>
          <cell r="B47" t="str">
            <v>2730 — Due to Nick Logothetis</v>
          </cell>
          <cell r="E47">
            <v>0</v>
          </cell>
        </row>
        <row r="48">
          <cell r="A48" t="str">
            <v>32000</v>
          </cell>
          <cell r="B48" t="str">
            <v>32000 — Unrestricted Net Assets</v>
          </cell>
          <cell r="C48">
            <v>623850</v>
          </cell>
          <cell r="E48">
            <v>623850</v>
          </cell>
        </row>
        <row r="49">
          <cell r="A49" t="str">
            <v>9995</v>
          </cell>
          <cell r="B49" t="str">
            <v>9995 — Prior Period Adjustment</v>
          </cell>
          <cell r="E49">
            <v>0</v>
          </cell>
        </row>
        <row r="50">
          <cell r="A50" t="str">
            <v>4100</v>
          </cell>
          <cell r="B50" t="str">
            <v>4000 — Revenue:4100 — Corporate</v>
          </cell>
          <cell r="D50">
            <v>3832468</v>
          </cell>
          <cell r="E50">
            <v>-3832468</v>
          </cell>
        </row>
        <row r="51">
          <cell r="A51" t="str">
            <v>4200</v>
          </cell>
          <cell r="B51" t="str">
            <v>4000 — Revenue:4200 — Foundation</v>
          </cell>
          <cell r="D51">
            <v>1147487</v>
          </cell>
          <cell r="E51">
            <v>-1147487</v>
          </cell>
        </row>
        <row r="52">
          <cell r="A52">
            <v>4400</v>
          </cell>
          <cell r="B52" t="str">
            <v>4000 — Revenue:4400 — In-Kind</v>
          </cell>
          <cell r="D52">
            <v>1701693</v>
          </cell>
          <cell r="E52">
            <v>-1701693</v>
          </cell>
        </row>
        <row r="53">
          <cell r="A53" t="str">
            <v>4500</v>
          </cell>
          <cell r="B53" t="str">
            <v>4000 — Revenue:4500 — Individual</v>
          </cell>
          <cell r="D53">
            <v>106050</v>
          </cell>
          <cell r="E53">
            <v>-106050</v>
          </cell>
        </row>
        <row r="54">
          <cell r="A54">
            <v>4800</v>
          </cell>
          <cell r="B54" t="str">
            <v>4000 — Revenue:4800 — Miscellaneous Income</v>
          </cell>
          <cell r="D54">
            <v>513</v>
          </cell>
          <cell r="E54">
            <v>-513</v>
          </cell>
        </row>
        <row r="55">
          <cell r="A55" t="str">
            <v>4850</v>
          </cell>
          <cell r="B55" t="str">
            <v>4000 — Revenue:4850 — Membership dues</v>
          </cell>
          <cell r="D55">
            <v>83392</v>
          </cell>
          <cell r="E55">
            <v>-83392</v>
          </cell>
        </row>
        <row r="56">
          <cell r="A56">
            <v>4890</v>
          </cell>
          <cell r="B56" t="str">
            <v>4000 — Revenue:4890 — Interest Income</v>
          </cell>
          <cell r="D56">
            <v>6</v>
          </cell>
          <cell r="E56">
            <v>-6</v>
          </cell>
        </row>
        <row r="57">
          <cell r="A57" t="str">
            <v>6000</v>
          </cell>
          <cell r="B57" t="str">
            <v>6000 — Administrative Expenses:6110 — Accounting</v>
          </cell>
          <cell r="C57">
            <v>60421</v>
          </cell>
          <cell r="E57">
            <v>60421</v>
          </cell>
        </row>
        <row r="58">
          <cell r="A58" t="str">
            <v>6000</v>
          </cell>
          <cell r="B58" t="str">
            <v>6000 — Administrative Expenses:6120 — Advertising/Promotional</v>
          </cell>
          <cell r="C58">
            <v>5382</v>
          </cell>
          <cell r="E58">
            <v>5382</v>
          </cell>
        </row>
        <row r="59">
          <cell r="A59" t="str">
            <v>6000</v>
          </cell>
          <cell r="B59" t="str">
            <v>6000 — Administrative Expenses:6130 — Bank Fees</v>
          </cell>
          <cell r="C59">
            <v>9324</v>
          </cell>
          <cell r="E59">
            <v>9324</v>
          </cell>
        </row>
        <row r="60">
          <cell r="A60">
            <v>6000</v>
          </cell>
          <cell r="B60" t="str">
            <v>6000 — Administrative Expenses:6140 — Consultants</v>
          </cell>
          <cell r="C60">
            <v>5750</v>
          </cell>
          <cell r="E60">
            <v>5750</v>
          </cell>
        </row>
        <row r="61">
          <cell r="A61" t="str">
            <v>6000</v>
          </cell>
          <cell r="B61" t="str">
            <v>6000 — Administrative Expenses:6150 — Continuing Education</v>
          </cell>
          <cell r="C61">
            <v>10</v>
          </cell>
          <cell r="E61">
            <v>10</v>
          </cell>
        </row>
        <row r="62">
          <cell r="A62">
            <v>6000</v>
          </cell>
          <cell r="B62" t="str">
            <v>6000 — Administrative Expenses:6155 — Seminars &amp; Meetings</v>
          </cell>
          <cell r="C62">
            <v>139</v>
          </cell>
          <cell r="E62">
            <v>139</v>
          </cell>
        </row>
        <row r="63">
          <cell r="A63" t="str">
            <v>6000</v>
          </cell>
          <cell r="B63" t="str">
            <v>6000 — Administrative Expenses:6170 — Depreciation Expense</v>
          </cell>
          <cell r="C63">
            <v>7913</v>
          </cell>
          <cell r="E63">
            <v>7913</v>
          </cell>
        </row>
        <row r="64">
          <cell r="A64">
            <v>6000</v>
          </cell>
          <cell r="B64" t="str">
            <v>6000 — Administrative Expenses:6180 — Dues &amp; Subscriptions</v>
          </cell>
          <cell r="E64">
            <v>0</v>
          </cell>
        </row>
        <row r="65">
          <cell r="A65" t="str">
            <v>6000</v>
          </cell>
          <cell r="B65" t="str">
            <v>6000 — Administrative Expenses:6190 — Insurance</v>
          </cell>
          <cell r="C65">
            <v>3683</v>
          </cell>
          <cell r="E65">
            <v>3683</v>
          </cell>
        </row>
        <row r="66">
          <cell r="A66" t="str">
            <v>6000</v>
          </cell>
          <cell r="B66" t="str">
            <v>6000 — Administrative Expenses:6200 — Interest Expense</v>
          </cell>
          <cell r="C66">
            <v>3627</v>
          </cell>
          <cell r="E66">
            <v>3627</v>
          </cell>
        </row>
        <row r="67">
          <cell r="A67" t="str">
            <v>6000</v>
          </cell>
          <cell r="B67" t="str">
            <v>6000 — Administrative Expenses:6210 — Leasing</v>
          </cell>
          <cell r="C67">
            <v>142500</v>
          </cell>
          <cell r="E67">
            <v>142500</v>
          </cell>
        </row>
        <row r="68">
          <cell r="A68" t="str">
            <v>6000</v>
          </cell>
          <cell r="B68" t="str">
            <v>6000 — Administrative Expenses:6220 — Legal &amp; Professional Fees</v>
          </cell>
          <cell r="C68">
            <v>52582</v>
          </cell>
          <cell r="E68">
            <v>52582</v>
          </cell>
        </row>
        <row r="69">
          <cell r="A69" t="str">
            <v>6000</v>
          </cell>
          <cell r="B69" t="str">
            <v>6000 — Administrative Expenses:6230 — Meals</v>
          </cell>
          <cell r="C69">
            <v>21151</v>
          </cell>
          <cell r="E69">
            <v>21151</v>
          </cell>
        </row>
        <row r="70">
          <cell r="A70" t="str">
            <v>6000</v>
          </cell>
          <cell r="B70" t="str">
            <v>6000 — Administrative Expenses:6240 — Printed Materials</v>
          </cell>
          <cell r="C70">
            <v>7848</v>
          </cell>
          <cell r="E70">
            <v>7848</v>
          </cell>
        </row>
        <row r="71">
          <cell r="A71" t="str">
            <v>6000</v>
          </cell>
          <cell r="B71" t="str">
            <v>6000 — Administrative Expenses:6260 — Shipping &amp; Postage</v>
          </cell>
          <cell r="C71">
            <v>6612</v>
          </cell>
          <cell r="E71">
            <v>6612</v>
          </cell>
        </row>
        <row r="72">
          <cell r="A72" t="str">
            <v>6000</v>
          </cell>
          <cell r="B72" t="str">
            <v>6000 — Administrative Expenses:6270 — Space Rental Fees</v>
          </cell>
          <cell r="C72">
            <v>2551</v>
          </cell>
          <cell r="E72">
            <v>2551</v>
          </cell>
        </row>
        <row r="73">
          <cell r="A73" t="str">
            <v>6000</v>
          </cell>
          <cell r="B73" t="str">
            <v>6000 — Administrative Expenses:6280 — Supplies &amp; Materials</v>
          </cell>
          <cell r="C73">
            <v>18043</v>
          </cell>
          <cell r="E73">
            <v>18043</v>
          </cell>
        </row>
        <row r="74">
          <cell r="A74" t="str">
            <v>6000</v>
          </cell>
          <cell r="B74" t="str">
            <v>6000 — Administrative Expenses:6290 — Technology</v>
          </cell>
          <cell r="C74">
            <v>19987</v>
          </cell>
          <cell r="E74">
            <v>19987</v>
          </cell>
        </row>
        <row r="75">
          <cell r="A75" t="str">
            <v>6000</v>
          </cell>
          <cell r="B75" t="str">
            <v>6000 — Administrative Expenses:6300 — Telephone/Internet</v>
          </cell>
          <cell r="C75">
            <v>6152</v>
          </cell>
          <cell r="E75">
            <v>6152</v>
          </cell>
        </row>
        <row r="76">
          <cell r="A76" t="str">
            <v>6000</v>
          </cell>
          <cell r="B76" t="str">
            <v>6000 — Administrative Expenses:6310 — Travel and Lodging</v>
          </cell>
          <cell r="C76">
            <v>43349</v>
          </cell>
          <cell r="E76">
            <v>43349</v>
          </cell>
        </row>
        <row r="77">
          <cell r="A77" t="str">
            <v>6000</v>
          </cell>
          <cell r="B77" t="str">
            <v>6000 — Administrative Expenses:6320 — Utilities</v>
          </cell>
          <cell r="C77">
            <v>9688</v>
          </cell>
          <cell r="E77">
            <v>9688</v>
          </cell>
        </row>
        <row r="78">
          <cell r="A78" t="str">
            <v>6000</v>
          </cell>
          <cell r="B78" t="str">
            <v>6000 — Administrative Expenses:6330 — Website Fees</v>
          </cell>
          <cell r="C78">
            <v>4738</v>
          </cell>
          <cell r="E78">
            <v>4738</v>
          </cell>
        </row>
        <row r="79">
          <cell r="A79" t="str">
            <v>6000</v>
          </cell>
          <cell r="B79" t="str">
            <v>6000 — Administrative Expenses:6340 — Miscellaneous</v>
          </cell>
          <cell r="C79">
            <v>6967</v>
          </cell>
          <cell r="E79">
            <v>6967</v>
          </cell>
        </row>
        <row r="80">
          <cell r="A80">
            <v>6000</v>
          </cell>
          <cell r="B80" t="str">
            <v>6000 — Administrative Expenses:6360 — Taxes and Filing Fees</v>
          </cell>
          <cell r="C80">
            <v>16</v>
          </cell>
          <cell r="E80">
            <v>16</v>
          </cell>
        </row>
        <row r="81">
          <cell r="A81">
            <v>6400</v>
          </cell>
          <cell r="B81" t="str">
            <v>6400 — Partnering:6420 — Campaign Development</v>
          </cell>
          <cell r="C81">
            <v>55297</v>
          </cell>
          <cell r="E81">
            <v>55297</v>
          </cell>
        </row>
        <row r="82">
          <cell r="A82">
            <v>6400</v>
          </cell>
          <cell r="B82" t="str">
            <v>6400 — Partnering:6430 — Travel &amp; Lodging</v>
          </cell>
          <cell r="C82">
            <v>56848</v>
          </cell>
          <cell r="E82">
            <v>56848</v>
          </cell>
        </row>
        <row r="83">
          <cell r="A83">
            <v>6400</v>
          </cell>
          <cell r="B83" t="str">
            <v>6400 — Partnering:6440 — Seminars &amp; Meetings</v>
          </cell>
          <cell r="C83">
            <v>2592</v>
          </cell>
          <cell r="E83">
            <v>2592</v>
          </cell>
        </row>
        <row r="84">
          <cell r="A84" t="str">
            <v>6400</v>
          </cell>
          <cell r="B84" t="str">
            <v>6400 — Partnering:6460 — Food/Meals</v>
          </cell>
          <cell r="C84">
            <v>6458</v>
          </cell>
          <cell r="E84">
            <v>6458</v>
          </cell>
        </row>
        <row r="85">
          <cell r="A85">
            <v>6500</v>
          </cell>
          <cell r="B85" t="str">
            <v>6500 — Internships</v>
          </cell>
          <cell r="D85">
            <v>449</v>
          </cell>
          <cell r="E85">
            <v>-449</v>
          </cell>
        </row>
        <row r="86">
          <cell r="A86" t="str">
            <v>6500</v>
          </cell>
          <cell r="B86" t="str">
            <v>6500 — Internships:6530 — Stipend/Bonus</v>
          </cell>
          <cell r="C86">
            <v>57144</v>
          </cell>
          <cell r="E86">
            <v>57144</v>
          </cell>
        </row>
        <row r="87">
          <cell r="A87">
            <v>6600</v>
          </cell>
          <cell r="B87" t="str">
            <v>6600 — Research:6680 — Tools &amp; Software</v>
          </cell>
          <cell r="C87">
            <v>106</v>
          </cell>
          <cell r="E87">
            <v>106</v>
          </cell>
        </row>
        <row r="88">
          <cell r="A88" t="str">
            <v>6700</v>
          </cell>
          <cell r="B88" t="str">
            <v>6700 — Personnel:6710 — Accrued Vacation</v>
          </cell>
          <cell r="C88">
            <v>2831</v>
          </cell>
          <cell r="E88">
            <v>2831</v>
          </cell>
        </row>
        <row r="89">
          <cell r="A89" t="str">
            <v>6700</v>
          </cell>
          <cell r="B89" t="str">
            <v>6700 — Personnel:6720 — Health Insurance Premiums</v>
          </cell>
          <cell r="C89">
            <v>86559</v>
          </cell>
          <cell r="E89">
            <v>86559</v>
          </cell>
        </row>
        <row r="90">
          <cell r="A90" t="str">
            <v>6700</v>
          </cell>
          <cell r="B90" t="str">
            <v>6700 — Personnel:6730 — HSA</v>
          </cell>
          <cell r="C90">
            <v>5293</v>
          </cell>
          <cell r="E90">
            <v>5293</v>
          </cell>
        </row>
        <row r="91">
          <cell r="A91" t="str">
            <v>6700</v>
          </cell>
          <cell r="B91" t="str">
            <v>6700 — Personnel:6740 — Payroll Taxes</v>
          </cell>
          <cell r="C91">
            <v>61975</v>
          </cell>
          <cell r="E91">
            <v>61975</v>
          </cell>
        </row>
        <row r="92">
          <cell r="A92" t="str">
            <v>6700</v>
          </cell>
          <cell r="B92" t="str">
            <v>6700 — Personnel:6701 — Salary</v>
          </cell>
          <cell r="C92">
            <v>813435</v>
          </cell>
          <cell r="E92">
            <v>813435</v>
          </cell>
        </row>
        <row r="93">
          <cell r="A93" t="str">
            <v>6700</v>
          </cell>
          <cell r="B93" t="str">
            <v>6700 — Personnel:6760 — W/C Insurance</v>
          </cell>
          <cell r="C93">
            <v>515</v>
          </cell>
          <cell r="E93">
            <v>515</v>
          </cell>
        </row>
        <row r="94">
          <cell r="A94" t="str">
            <v>6700</v>
          </cell>
          <cell r="B94" t="str">
            <v>6700 — Personnel:6770 — Transit Check</v>
          </cell>
          <cell r="C94">
            <v>9117</v>
          </cell>
          <cell r="E94">
            <v>9117</v>
          </cell>
        </row>
        <row r="95">
          <cell r="A95" t="str">
            <v>6700</v>
          </cell>
          <cell r="B95" t="str">
            <v>6700 — Personnel:6790 — Payroll Processing Fees</v>
          </cell>
          <cell r="C95">
            <v>1006</v>
          </cell>
          <cell r="E95">
            <v>1006</v>
          </cell>
        </row>
        <row r="96">
          <cell r="A96">
            <v>6800</v>
          </cell>
          <cell r="B96" t="str">
            <v>6800 — Programming Costs:6810 — Advertising/Promotional</v>
          </cell>
          <cell r="C96">
            <v>57018</v>
          </cell>
          <cell r="E96">
            <v>57018</v>
          </cell>
        </row>
        <row r="97">
          <cell r="A97" t="str">
            <v>6800</v>
          </cell>
          <cell r="B97" t="str">
            <v>6800 — Programming Costs:6811 — Branding/Signage</v>
          </cell>
          <cell r="C97">
            <v>188220</v>
          </cell>
          <cell r="E97">
            <v>188220</v>
          </cell>
        </row>
        <row r="98">
          <cell r="A98" t="str">
            <v>6800</v>
          </cell>
          <cell r="B98" t="str">
            <v>6800 — Programming Costs:6815 — Printed Materials</v>
          </cell>
          <cell r="C98">
            <v>35359</v>
          </cell>
          <cell r="E98">
            <v>35359</v>
          </cell>
        </row>
        <row r="99">
          <cell r="A99" t="str">
            <v>6800</v>
          </cell>
          <cell r="B99" t="str">
            <v>6800 — Programming Costs:6820 — Audio Visual</v>
          </cell>
          <cell r="C99">
            <v>525238</v>
          </cell>
          <cell r="E99">
            <v>525238</v>
          </cell>
        </row>
        <row r="100">
          <cell r="A100" t="str">
            <v>6800</v>
          </cell>
          <cell r="B100" t="str">
            <v>6800 — Programming Costs:6825 — Speaker fees</v>
          </cell>
          <cell r="C100">
            <v>1464000</v>
          </cell>
          <cell r="E100">
            <v>1464000</v>
          </cell>
        </row>
        <row r="101">
          <cell r="A101" t="str">
            <v>6800</v>
          </cell>
          <cell r="B101" t="str">
            <v>6800 — Programming Costs:6829 — Event Management &amp; Logistics</v>
          </cell>
          <cell r="C101">
            <v>59350</v>
          </cell>
          <cell r="E101">
            <v>59350</v>
          </cell>
        </row>
        <row r="102">
          <cell r="A102" t="str">
            <v>6800</v>
          </cell>
          <cell r="B102" t="str">
            <v>6800 — Programming Costs:6830 — Consultants- Operations</v>
          </cell>
          <cell r="C102">
            <v>108692</v>
          </cell>
          <cell r="E102">
            <v>108692</v>
          </cell>
        </row>
        <row r="103">
          <cell r="A103" t="str">
            <v>6800</v>
          </cell>
          <cell r="B103" t="str">
            <v>6800 — Programming Costs:6831 — Contractors- Event Logistics</v>
          </cell>
          <cell r="C103">
            <v>399890</v>
          </cell>
          <cell r="E103">
            <v>399890</v>
          </cell>
        </row>
        <row r="104">
          <cell r="A104" t="str">
            <v>6800</v>
          </cell>
          <cell r="B104" t="str">
            <v>6800 — Programming Costs:6840 — Equipment Rental Fees</v>
          </cell>
          <cell r="C104">
            <v>3000</v>
          </cell>
          <cell r="E104">
            <v>3000</v>
          </cell>
        </row>
        <row r="105">
          <cell r="A105" t="str">
            <v>6800</v>
          </cell>
          <cell r="B105" t="str">
            <v>6800 — Programming Costs:6841 — Supplies &amp; Furniture Rental</v>
          </cell>
          <cell r="C105">
            <v>94350</v>
          </cell>
          <cell r="E105">
            <v>94350</v>
          </cell>
        </row>
        <row r="106">
          <cell r="A106" t="str">
            <v>6800</v>
          </cell>
          <cell r="B106" t="str">
            <v>6800 — Programming Costs:6850 — Food/Meals</v>
          </cell>
          <cell r="C106">
            <v>40430</v>
          </cell>
          <cell r="E106">
            <v>40430</v>
          </cell>
        </row>
        <row r="107">
          <cell r="A107" t="str">
            <v>6800</v>
          </cell>
          <cell r="B107" t="str">
            <v>6800 — Programming Costs:6851 — Catering</v>
          </cell>
          <cell r="C107">
            <v>554303</v>
          </cell>
          <cell r="E107">
            <v>554303</v>
          </cell>
        </row>
        <row r="108">
          <cell r="A108" t="str">
            <v>6800</v>
          </cell>
          <cell r="B108" t="str">
            <v>6800 — Programming Costs:6860 — Media and Technology</v>
          </cell>
          <cell r="C108">
            <v>171463</v>
          </cell>
          <cell r="E108">
            <v>171463</v>
          </cell>
        </row>
        <row r="109">
          <cell r="A109" t="str">
            <v>6800</v>
          </cell>
          <cell r="B109" t="str">
            <v>6800 — Programming Costs:6861 — Photography</v>
          </cell>
          <cell r="C109">
            <v>51228</v>
          </cell>
          <cell r="E109">
            <v>51228</v>
          </cell>
        </row>
        <row r="110">
          <cell r="A110" t="str">
            <v>6800</v>
          </cell>
          <cell r="B110" t="str">
            <v>6800 — Programming Costs:6865 — Supplies &amp; Materials</v>
          </cell>
          <cell r="C110">
            <v>56912</v>
          </cell>
          <cell r="E110">
            <v>56912</v>
          </cell>
        </row>
        <row r="111">
          <cell r="A111" t="str">
            <v>6800</v>
          </cell>
          <cell r="B111" t="str">
            <v>6800 — Programming Costs:6870 — Summit Programming</v>
          </cell>
          <cell r="E111">
            <v>0</v>
          </cell>
        </row>
        <row r="112">
          <cell r="A112" t="str">
            <v>6800</v>
          </cell>
          <cell r="B112" t="str">
            <v>6800 — Programming Costs:6890 — Space Rental Fees</v>
          </cell>
          <cell r="C112">
            <v>192266</v>
          </cell>
          <cell r="E112">
            <v>192266</v>
          </cell>
        </row>
        <row r="113">
          <cell r="A113" t="str">
            <v>6800</v>
          </cell>
          <cell r="B113" t="str">
            <v>6800 — Programming Costs:6899 — Miscellaneous costs</v>
          </cell>
          <cell r="C113">
            <v>27134</v>
          </cell>
          <cell r="E113">
            <v>27134</v>
          </cell>
        </row>
        <row r="114">
          <cell r="A114" t="str">
            <v>6800</v>
          </cell>
          <cell r="B114" t="str">
            <v>6800 — Programming Costs:6880 — Registration Materials</v>
          </cell>
          <cell r="C114">
            <v>22299</v>
          </cell>
          <cell r="E114">
            <v>22299</v>
          </cell>
        </row>
        <row r="115">
          <cell r="A115" t="str">
            <v>6800</v>
          </cell>
          <cell r="B115" t="str">
            <v>6800 — Programming Costs:6895 — Travel and Lodging</v>
          </cell>
          <cell r="C115">
            <v>379456</v>
          </cell>
          <cell r="E115">
            <v>379456</v>
          </cell>
        </row>
        <row r="116">
          <cell r="A116" t="str">
            <v>4100</v>
          </cell>
          <cell r="B116" t="str">
            <v>4100 — Corporate</v>
          </cell>
          <cell r="C116">
            <v>-2510000</v>
          </cell>
          <cell r="E116">
            <v>-2510000</v>
          </cell>
        </row>
        <row r="117">
          <cell r="A117" t="str">
            <v>4200</v>
          </cell>
          <cell r="B117" t="str">
            <v>4200 — Foundation</v>
          </cell>
          <cell r="E117">
            <v>0</v>
          </cell>
        </row>
        <row r="118">
          <cell r="A118">
            <v>4400</v>
          </cell>
          <cell r="B118" t="str">
            <v>4400 — In-Kind</v>
          </cell>
          <cell r="C118">
            <v>-2034</v>
          </cell>
          <cell r="E118">
            <v>-2034</v>
          </cell>
        </row>
        <row r="119">
          <cell r="A119" t="str">
            <v>4500</v>
          </cell>
          <cell r="B119" t="str">
            <v>4500 — Individual</v>
          </cell>
          <cell r="E119">
            <v>0</v>
          </cell>
        </row>
        <row r="120">
          <cell r="A120">
            <v>4800</v>
          </cell>
          <cell r="B120" t="str">
            <v>4800 — Miscellaneous Income</v>
          </cell>
          <cell r="C120">
            <v>-513</v>
          </cell>
          <cell r="E120">
            <v>-513</v>
          </cell>
        </row>
        <row r="121">
          <cell r="A121" t="str">
            <v>4850</v>
          </cell>
          <cell r="B121" t="str">
            <v>4850 — Membership dues</v>
          </cell>
          <cell r="E121">
            <v>0</v>
          </cell>
        </row>
        <row r="122">
          <cell r="A122">
            <v>4890</v>
          </cell>
          <cell r="B122" t="str">
            <v>4890 — Interest Income</v>
          </cell>
          <cell r="C122">
            <v>-6</v>
          </cell>
          <cell r="E122">
            <v>-6</v>
          </cell>
        </row>
        <row r="123">
          <cell r="A123" t="str">
            <v>6000</v>
          </cell>
          <cell r="B123" t="str">
            <v>6110 — Accounting</v>
          </cell>
          <cell r="C123">
            <v>60421</v>
          </cell>
          <cell r="E123">
            <v>60421</v>
          </cell>
        </row>
        <row r="124">
          <cell r="A124" t="str">
            <v>6000</v>
          </cell>
          <cell r="B124" t="str">
            <v>6120 — Advertising/Promotional</v>
          </cell>
          <cell r="C124">
            <v>5232</v>
          </cell>
          <cell r="E124">
            <v>5232</v>
          </cell>
        </row>
        <row r="125">
          <cell r="A125" t="str">
            <v>6000</v>
          </cell>
          <cell r="B125" t="str">
            <v>6130 — Bank Fees</v>
          </cell>
          <cell r="C125">
            <v>6549</v>
          </cell>
          <cell r="E125">
            <v>6549</v>
          </cell>
        </row>
        <row r="126">
          <cell r="A126">
            <v>6000</v>
          </cell>
          <cell r="B126" t="str">
            <v>6140 — Consultants</v>
          </cell>
          <cell r="E126">
            <v>0</v>
          </cell>
        </row>
        <row r="127">
          <cell r="A127" t="str">
            <v>6000</v>
          </cell>
          <cell r="B127" t="str">
            <v>6150 — Continuing Education</v>
          </cell>
          <cell r="C127">
            <v>10</v>
          </cell>
          <cell r="E127">
            <v>10</v>
          </cell>
        </row>
        <row r="128">
          <cell r="A128" t="str">
            <v>6000</v>
          </cell>
          <cell r="B128" t="str">
            <v>6155 — Seminars &amp; Meetings</v>
          </cell>
          <cell r="C128">
            <v>139</v>
          </cell>
          <cell r="E128">
            <v>139</v>
          </cell>
        </row>
        <row r="129">
          <cell r="A129" t="str">
            <v>6000</v>
          </cell>
          <cell r="B129" t="str">
            <v>6170 — Depreciation Expense</v>
          </cell>
          <cell r="C129">
            <v>7914</v>
          </cell>
          <cell r="E129">
            <v>7914</v>
          </cell>
        </row>
        <row r="130">
          <cell r="A130" t="str">
            <v>6000</v>
          </cell>
          <cell r="B130" t="str">
            <v>6180 — Dues &amp; Subscriptions</v>
          </cell>
          <cell r="E130">
            <v>0</v>
          </cell>
        </row>
        <row r="131">
          <cell r="A131" t="str">
            <v>6000</v>
          </cell>
          <cell r="B131" t="str">
            <v>6190 — Insurance</v>
          </cell>
          <cell r="C131">
            <v>3455</v>
          </cell>
          <cell r="E131">
            <v>3455</v>
          </cell>
        </row>
        <row r="132">
          <cell r="A132" t="str">
            <v>6000</v>
          </cell>
          <cell r="B132" t="str">
            <v>6200 — Interest Expense</v>
          </cell>
          <cell r="C132">
            <v>3627</v>
          </cell>
          <cell r="E132">
            <v>3627</v>
          </cell>
        </row>
        <row r="133">
          <cell r="A133" t="str">
            <v>6000</v>
          </cell>
          <cell r="B133" t="str">
            <v>6210 — Leasing</v>
          </cell>
          <cell r="C133">
            <v>126825</v>
          </cell>
          <cell r="E133">
            <v>126825</v>
          </cell>
        </row>
        <row r="134">
          <cell r="A134" t="str">
            <v>6000</v>
          </cell>
          <cell r="B134" t="str">
            <v>6220 — Legal &amp; Professional Fees</v>
          </cell>
          <cell r="C134">
            <v>12582</v>
          </cell>
          <cell r="E134">
            <v>12582</v>
          </cell>
        </row>
        <row r="135">
          <cell r="A135" t="str">
            <v>6000</v>
          </cell>
          <cell r="B135" t="str">
            <v>6230 — Meals</v>
          </cell>
          <cell r="C135">
            <v>18904</v>
          </cell>
          <cell r="E135">
            <v>18904</v>
          </cell>
        </row>
        <row r="136">
          <cell r="A136" t="str">
            <v>6000</v>
          </cell>
          <cell r="B136" t="str">
            <v>6240 — Printed Materials</v>
          </cell>
          <cell r="C136">
            <v>3334</v>
          </cell>
          <cell r="E136">
            <v>3334</v>
          </cell>
        </row>
        <row r="137">
          <cell r="A137" t="str">
            <v>6000</v>
          </cell>
          <cell r="B137" t="str">
            <v>6260 — Shipping &amp; Postage</v>
          </cell>
          <cell r="C137">
            <v>5768</v>
          </cell>
          <cell r="E137">
            <v>5768</v>
          </cell>
        </row>
        <row r="138">
          <cell r="A138" t="str">
            <v>6000</v>
          </cell>
          <cell r="B138" t="str">
            <v>6270 — Space Rental Fees</v>
          </cell>
          <cell r="C138">
            <v>2551</v>
          </cell>
          <cell r="E138">
            <v>2551</v>
          </cell>
        </row>
        <row r="139">
          <cell r="A139" t="str">
            <v>6000</v>
          </cell>
          <cell r="B139" t="str">
            <v>6280 — Supplies &amp; Materials</v>
          </cell>
          <cell r="C139">
            <v>18600</v>
          </cell>
          <cell r="E139">
            <v>18600</v>
          </cell>
        </row>
        <row r="140">
          <cell r="A140" t="str">
            <v>6000</v>
          </cell>
          <cell r="B140" t="str">
            <v>6290 — Technology</v>
          </cell>
          <cell r="C140">
            <v>19987</v>
          </cell>
          <cell r="E140">
            <v>19987</v>
          </cell>
        </row>
        <row r="141">
          <cell r="A141" t="str">
            <v>6000</v>
          </cell>
          <cell r="B141" t="str">
            <v>6300 — Telephone/Internet</v>
          </cell>
          <cell r="C141">
            <v>6145</v>
          </cell>
          <cell r="E141">
            <v>6145</v>
          </cell>
        </row>
        <row r="142">
          <cell r="A142" t="str">
            <v>6000</v>
          </cell>
          <cell r="B142" t="str">
            <v>6310 — Travel and Lodging</v>
          </cell>
          <cell r="C142">
            <v>37174</v>
          </cell>
          <cell r="E142">
            <v>37174</v>
          </cell>
        </row>
        <row r="143">
          <cell r="A143" t="str">
            <v>6000</v>
          </cell>
          <cell r="B143" t="str">
            <v>6320 — Utilities</v>
          </cell>
          <cell r="C143">
            <v>9688</v>
          </cell>
          <cell r="E143">
            <v>9688</v>
          </cell>
        </row>
        <row r="144">
          <cell r="A144" t="str">
            <v>6000</v>
          </cell>
          <cell r="B144" t="str">
            <v>6330 — Website Fees</v>
          </cell>
          <cell r="C144">
            <v>4738</v>
          </cell>
          <cell r="E144">
            <v>4738</v>
          </cell>
        </row>
        <row r="145">
          <cell r="A145" t="str">
            <v>6000</v>
          </cell>
          <cell r="B145" t="str">
            <v>6340 — Miscellaneous</v>
          </cell>
          <cell r="C145">
            <v>6580</v>
          </cell>
          <cell r="E145">
            <v>6580</v>
          </cell>
        </row>
        <row r="146">
          <cell r="A146">
            <v>6000</v>
          </cell>
          <cell r="B146" t="str">
            <v>6360 — Taxes and Filing Fees</v>
          </cell>
          <cell r="C146">
            <v>16</v>
          </cell>
          <cell r="E146">
            <v>16</v>
          </cell>
        </row>
        <row r="147">
          <cell r="A147" t="str">
            <v>6500</v>
          </cell>
          <cell r="B147" t="str">
            <v>6500 — Internships - Other</v>
          </cell>
          <cell r="E147">
            <v>0</v>
          </cell>
        </row>
        <row r="148">
          <cell r="A148" t="str">
            <v>6500</v>
          </cell>
          <cell r="B148" t="str">
            <v>6530 — Stipend/Bonus</v>
          </cell>
          <cell r="E148">
            <v>0</v>
          </cell>
        </row>
        <row r="149">
          <cell r="A149">
            <v>6600</v>
          </cell>
          <cell r="B149" t="str">
            <v>6680 — Tools &amp; Software</v>
          </cell>
          <cell r="E149">
            <v>0</v>
          </cell>
        </row>
        <row r="150">
          <cell r="A150" t="str">
            <v>6700</v>
          </cell>
          <cell r="B150" t="str">
            <v>6701 — Salary</v>
          </cell>
          <cell r="C150">
            <v>187630</v>
          </cell>
          <cell r="E150">
            <v>187630</v>
          </cell>
        </row>
        <row r="151">
          <cell r="A151" t="str">
            <v>6710</v>
          </cell>
          <cell r="B151" t="str">
            <v>6710 — Accrued Vacation</v>
          </cell>
          <cell r="C151">
            <v>2831</v>
          </cell>
          <cell r="E151">
            <v>2831</v>
          </cell>
        </row>
        <row r="152">
          <cell r="A152" t="str">
            <v>6700</v>
          </cell>
          <cell r="B152" t="str">
            <v>6720 — Health Insurance Premiums</v>
          </cell>
          <cell r="C152">
            <v>86559</v>
          </cell>
          <cell r="E152">
            <v>86559</v>
          </cell>
        </row>
        <row r="153">
          <cell r="A153" t="str">
            <v>6700</v>
          </cell>
          <cell r="B153" t="str">
            <v>6730 — HSA</v>
          </cell>
          <cell r="C153">
            <v>5293</v>
          </cell>
          <cell r="E153">
            <v>5293</v>
          </cell>
        </row>
        <row r="154">
          <cell r="A154" t="str">
            <v>6700</v>
          </cell>
          <cell r="B154" t="str">
            <v>6740 — Payroll Taxes</v>
          </cell>
          <cell r="C154">
            <v>12638</v>
          </cell>
          <cell r="E154">
            <v>12638</v>
          </cell>
        </row>
        <row r="155">
          <cell r="A155" t="str">
            <v>6700</v>
          </cell>
          <cell r="B155" t="str">
            <v>6760 — W/C Insurance</v>
          </cell>
          <cell r="C155">
            <v>514</v>
          </cell>
          <cell r="E155">
            <v>514</v>
          </cell>
        </row>
        <row r="156">
          <cell r="A156" t="str">
            <v>6700</v>
          </cell>
          <cell r="B156" t="str">
            <v>6770 — Transit Check</v>
          </cell>
          <cell r="C156">
            <v>9118</v>
          </cell>
          <cell r="E156">
            <v>9118</v>
          </cell>
        </row>
        <row r="157">
          <cell r="A157" t="str">
            <v>6700</v>
          </cell>
          <cell r="B157" t="str">
            <v>6790 — Payroll Processing Fees</v>
          </cell>
          <cell r="C157">
            <v>1006</v>
          </cell>
          <cell r="E157">
            <v>1006</v>
          </cell>
        </row>
        <row r="158">
          <cell r="A158" t="str">
            <v>4100</v>
          </cell>
          <cell r="B158" t="str">
            <v>4100 — Corporate</v>
          </cell>
          <cell r="E158">
            <v>0</v>
          </cell>
        </row>
        <row r="159">
          <cell r="A159" t="str">
            <v>4200</v>
          </cell>
          <cell r="B159" t="str">
            <v>4200 — Foundation</v>
          </cell>
          <cell r="C159">
            <v>-1042737</v>
          </cell>
          <cell r="E159">
            <v>-1042737</v>
          </cell>
        </row>
        <row r="160">
          <cell r="A160">
            <v>4400</v>
          </cell>
          <cell r="B160" t="str">
            <v>4400 — In-Kind</v>
          </cell>
          <cell r="E160">
            <v>0</v>
          </cell>
        </row>
        <row r="161">
          <cell r="A161" t="str">
            <v>4500</v>
          </cell>
          <cell r="B161" t="str">
            <v>4500 — Individual</v>
          </cell>
          <cell r="E161">
            <v>0</v>
          </cell>
        </row>
        <row r="162">
          <cell r="A162">
            <v>4800</v>
          </cell>
          <cell r="B162" t="str">
            <v>4800 — Miscellaneous Income</v>
          </cell>
          <cell r="E162">
            <v>0</v>
          </cell>
        </row>
        <row r="163">
          <cell r="A163" t="str">
            <v>4850</v>
          </cell>
          <cell r="B163" t="str">
            <v>4850 — Membership dues</v>
          </cell>
          <cell r="E163">
            <v>0</v>
          </cell>
        </row>
        <row r="164">
          <cell r="A164">
            <v>4890</v>
          </cell>
          <cell r="B164" t="str">
            <v>4890 — Interest Income</v>
          </cell>
          <cell r="E164">
            <v>0</v>
          </cell>
        </row>
        <row r="165">
          <cell r="A165" t="str">
            <v>6000</v>
          </cell>
          <cell r="B165" t="str">
            <v>6110 — Accounting</v>
          </cell>
          <cell r="E165">
            <v>0</v>
          </cell>
        </row>
        <row r="166">
          <cell r="A166" t="str">
            <v>6000</v>
          </cell>
          <cell r="B166" t="str">
            <v>6120 — Advertising/Promotional</v>
          </cell>
          <cell r="E166">
            <v>0</v>
          </cell>
        </row>
        <row r="167">
          <cell r="A167" t="str">
            <v>6000</v>
          </cell>
          <cell r="B167" t="str">
            <v>6130 — Bank Fees</v>
          </cell>
          <cell r="E167">
            <v>0</v>
          </cell>
        </row>
        <row r="168">
          <cell r="A168">
            <v>6000</v>
          </cell>
          <cell r="B168" t="str">
            <v>6140 — Consultants</v>
          </cell>
          <cell r="E168">
            <v>0</v>
          </cell>
        </row>
        <row r="169">
          <cell r="A169" t="str">
            <v>6000</v>
          </cell>
          <cell r="B169" t="str">
            <v>6150 — Continuing Education</v>
          </cell>
          <cell r="E169">
            <v>0</v>
          </cell>
        </row>
        <row r="170">
          <cell r="A170" t="str">
            <v>6000</v>
          </cell>
          <cell r="B170" t="str">
            <v>6155 — Seminars &amp; Meetings</v>
          </cell>
          <cell r="E170">
            <v>0</v>
          </cell>
        </row>
        <row r="171">
          <cell r="A171" t="str">
            <v>6000</v>
          </cell>
          <cell r="B171" t="str">
            <v>6170 — Depreciation Expense</v>
          </cell>
          <cell r="E171">
            <v>0</v>
          </cell>
        </row>
        <row r="172">
          <cell r="A172" t="str">
            <v>6000</v>
          </cell>
          <cell r="B172" t="str">
            <v>6180 — Dues &amp; Subscriptions</v>
          </cell>
          <cell r="E172">
            <v>0</v>
          </cell>
        </row>
        <row r="173">
          <cell r="A173" t="str">
            <v>6000</v>
          </cell>
          <cell r="B173" t="str">
            <v>6190 — Insurance</v>
          </cell>
          <cell r="E173">
            <v>0</v>
          </cell>
        </row>
        <row r="174">
          <cell r="A174" t="str">
            <v>6000</v>
          </cell>
          <cell r="B174" t="str">
            <v>6200 — Interest Expense</v>
          </cell>
          <cell r="E174">
            <v>0</v>
          </cell>
        </row>
        <row r="175">
          <cell r="A175" t="str">
            <v>6000</v>
          </cell>
          <cell r="B175" t="str">
            <v>6210 — Leasing</v>
          </cell>
          <cell r="C175">
            <v>15675</v>
          </cell>
          <cell r="E175">
            <v>15675</v>
          </cell>
        </row>
        <row r="176">
          <cell r="A176" t="str">
            <v>6000</v>
          </cell>
          <cell r="B176" t="str">
            <v>6220 — Legal &amp; Professional Fees</v>
          </cell>
          <cell r="E176">
            <v>0</v>
          </cell>
        </row>
        <row r="177">
          <cell r="A177" t="str">
            <v>6000</v>
          </cell>
          <cell r="B177" t="str">
            <v>6230 — Meals</v>
          </cell>
          <cell r="C177">
            <v>51</v>
          </cell>
          <cell r="E177">
            <v>51</v>
          </cell>
        </row>
        <row r="178">
          <cell r="A178" t="str">
            <v>6000</v>
          </cell>
          <cell r="B178" t="str">
            <v>6240 — Printed Materials</v>
          </cell>
          <cell r="E178">
            <v>0</v>
          </cell>
        </row>
        <row r="179">
          <cell r="A179" t="str">
            <v>6000</v>
          </cell>
          <cell r="B179" t="str">
            <v>6260 — Shipping &amp; Postage</v>
          </cell>
          <cell r="E179">
            <v>0</v>
          </cell>
        </row>
        <row r="180">
          <cell r="A180" t="str">
            <v>6000</v>
          </cell>
          <cell r="B180" t="str">
            <v>6270 — Space Rental Fees</v>
          </cell>
          <cell r="E180">
            <v>0</v>
          </cell>
        </row>
        <row r="181">
          <cell r="A181" t="str">
            <v>6000</v>
          </cell>
          <cell r="B181" t="str">
            <v>6280 — Supplies &amp; Materials</v>
          </cell>
          <cell r="E181">
            <v>0</v>
          </cell>
        </row>
        <row r="182">
          <cell r="A182" t="str">
            <v>6000</v>
          </cell>
          <cell r="B182" t="str">
            <v>6290 — Technology</v>
          </cell>
          <cell r="E182">
            <v>0</v>
          </cell>
        </row>
        <row r="183">
          <cell r="A183" t="str">
            <v>6000</v>
          </cell>
          <cell r="B183" t="str">
            <v>6300 — Telephone/Internet</v>
          </cell>
          <cell r="E183">
            <v>0</v>
          </cell>
        </row>
        <row r="184">
          <cell r="A184" t="str">
            <v>6000</v>
          </cell>
          <cell r="B184" t="str">
            <v>6310 — Travel and Lodging</v>
          </cell>
          <cell r="E184">
            <v>0</v>
          </cell>
        </row>
        <row r="185">
          <cell r="A185" t="str">
            <v>6000</v>
          </cell>
          <cell r="B185" t="str">
            <v>6320 — Utilities</v>
          </cell>
          <cell r="E185">
            <v>0</v>
          </cell>
        </row>
        <row r="186">
          <cell r="A186" t="str">
            <v>6000</v>
          </cell>
          <cell r="B186" t="str">
            <v>6330 — Website Fees</v>
          </cell>
          <cell r="E186">
            <v>0</v>
          </cell>
        </row>
        <row r="187">
          <cell r="A187" t="str">
            <v>6000</v>
          </cell>
          <cell r="B187" t="str">
            <v>6340 — Miscellaneous</v>
          </cell>
          <cell r="E187">
            <v>0</v>
          </cell>
        </row>
        <row r="188">
          <cell r="A188">
            <v>6000</v>
          </cell>
          <cell r="B188" t="str">
            <v>6360 — Taxes and Filing Fees</v>
          </cell>
          <cell r="E188">
            <v>0</v>
          </cell>
        </row>
        <row r="189">
          <cell r="A189">
            <v>6400</v>
          </cell>
          <cell r="B189" t="str">
            <v>6420 — Campaign Development</v>
          </cell>
          <cell r="C189">
            <v>55298</v>
          </cell>
          <cell r="E189">
            <v>55298</v>
          </cell>
        </row>
        <row r="190">
          <cell r="A190">
            <v>6400</v>
          </cell>
          <cell r="B190" t="str">
            <v>6430 — Travel &amp; Lodging</v>
          </cell>
          <cell r="C190">
            <v>56849</v>
          </cell>
          <cell r="E190">
            <v>56849</v>
          </cell>
        </row>
        <row r="191">
          <cell r="A191">
            <v>6400</v>
          </cell>
          <cell r="B191" t="str">
            <v>6440 — Seminars &amp; Meetings</v>
          </cell>
          <cell r="C191">
            <v>934</v>
          </cell>
          <cell r="E191">
            <v>934</v>
          </cell>
        </row>
        <row r="192">
          <cell r="A192" t="str">
            <v>6400</v>
          </cell>
          <cell r="B192" t="str">
            <v>6460 — Food/Meals</v>
          </cell>
          <cell r="C192">
            <v>6458</v>
          </cell>
          <cell r="E192">
            <v>6458</v>
          </cell>
        </row>
        <row r="193">
          <cell r="A193" t="str">
            <v>6500</v>
          </cell>
          <cell r="B193" t="str">
            <v>6500 — Internships - Other</v>
          </cell>
          <cell r="E193">
            <v>0</v>
          </cell>
        </row>
        <row r="194">
          <cell r="A194" t="str">
            <v>6500</v>
          </cell>
          <cell r="B194" t="str">
            <v>6530 — Stipend/Bonus</v>
          </cell>
          <cell r="C194">
            <v>10677</v>
          </cell>
          <cell r="E194">
            <v>10677</v>
          </cell>
        </row>
        <row r="195">
          <cell r="A195">
            <v>6600</v>
          </cell>
          <cell r="B195" t="str">
            <v>6680 — Tools &amp; Software</v>
          </cell>
          <cell r="E195">
            <v>0</v>
          </cell>
        </row>
        <row r="196">
          <cell r="A196" t="str">
            <v>6700</v>
          </cell>
          <cell r="B196" t="str">
            <v>6701 — Salary</v>
          </cell>
          <cell r="C196">
            <v>167895</v>
          </cell>
          <cell r="E196">
            <v>167895</v>
          </cell>
        </row>
        <row r="197">
          <cell r="A197" t="str">
            <v>6710</v>
          </cell>
          <cell r="B197" t="str">
            <v>6710 — Accrued Vacation</v>
          </cell>
          <cell r="E197">
            <v>0</v>
          </cell>
        </row>
        <row r="198">
          <cell r="A198" t="str">
            <v>6700</v>
          </cell>
          <cell r="B198" t="str">
            <v>6720 — Health Insurance Premiums</v>
          </cell>
          <cell r="E198">
            <v>0</v>
          </cell>
        </row>
        <row r="199">
          <cell r="A199" t="str">
            <v>6700</v>
          </cell>
          <cell r="B199" t="str">
            <v>6730 — HSA</v>
          </cell>
          <cell r="E199">
            <v>0</v>
          </cell>
        </row>
        <row r="200">
          <cell r="A200" t="str">
            <v>6700</v>
          </cell>
          <cell r="B200" t="str">
            <v>6740 — Payroll Taxes</v>
          </cell>
          <cell r="C200">
            <v>14139</v>
          </cell>
          <cell r="E200">
            <v>14139</v>
          </cell>
        </row>
        <row r="201">
          <cell r="A201" t="str">
            <v>6700</v>
          </cell>
          <cell r="B201" t="str">
            <v>6760 — W/C Insurance</v>
          </cell>
          <cell r="E201">
            <v>0</v>
          </cell>
        </row>
        <row r="202">
          <cell r="A202" t="str">
            <v>6700</v>
          </cell>
          <cell r="B202" t="str">
            <v>6770 — Transit Check</v>
          </cell>
          <cell r="E202">
            <v>0</v>
          </cell>
        </row>
        <row r="203">
          <cell r="A203" t="str">
            <v>6700</v>
          </cell>
          <cell r="B203" t="str">
            <v>6790 — Payroll Processing Fees</v>
          </cell>
          <cell r="E203">
            <v>0</v>
          </cell>
        </row>
        <row r="204">
          <cell r="A204">
            <v>6800</v>
          </cell>
          <cell r="B204" t="str">
            <v>6810 — Advertising/Promotional</v>
          </cell>
          <cell r="E204">
            <v>0</v>
          </cell>
        </row>
        <row r="205">
          <cell r="A205" t="str">
            <v>6800</v>
          </cell>
          <cell r="B205" t="str">
            <v>6811 — Branding/Signage</v>
          </cell>
          <cell r="C205">
            <v>13500</v>
          </cell>
          <cell r="E205">
            <v>13500</v>
          </cell>
        </row>
        <row r="206">
          <cell r="A206" t="str">
            <v>6800</v>
          </cell>
          <cell r="B206" t="str">
            <v>6815 — Printed Materials</v>
          </cell>
          <cell r="C206">
            <v>7267</v>
          </cell>
          <cell r="E206">
            <v>7267</v>
          </cell>
        </row>
        <row r="207">
          <cell r="A207" t="str">
            <v>6800</v>
          </cell>
          <cell r="B207" t="str">
            <v>6820 — Audio Visual</v>
          </cell>
          <cell r="C207">
            <v>61738</v>
          </cell>
          <cell r="E207">
            <v>61738</v>
          </cell>
        </row>
        <row r="208">
          <cell r="A208" t="str">
            <v>6800</v>
          </cell>
          <cell r="B208" t="str">
            <v>6825 — Speaker fees</v>
          </cell>
          <cell r="E208">
            <v>0</v>
          </cell>
        </row>
        <row r="209">
          <cell r="A209" t="str">
            <v>6800</v>
          </cell>
          <cell r="B209" t="str">
            <v>6829 — Event Management &amp; Logistics</v>
          </cell>
          <cell r="E209">
            <v>0</v>
          </cell>
        </row>
        <row r="210">
          <cell r="A210" t="str">
            <v>6800</v>
          </cell>
          <cell r="B210" t="str">
            <v>6830 — Consultants- Operations</v>
          </cell>
          <cell r="C210">
            <v>7500</v>
          </cell>
          <cell r="E210">
            <v>7500</v>
          </cell>
        </row>
        <row r="211">
          <cell r="A211" t="str">
            <v>6800</v>
          </cell>
          <cell r="B211" t="str">
            <v>6831 — Contractors- Event Logistics</v>
          </cell>
          <cell r="C211">
            <v>23332</v>
          </cell>
          <cell r="E211">
            <v>23332</v>
          </cell>
        </row>
        <row r="212">
          <cell r="A212" t="str">
            <v>6800</v>
          </cell>
          <cell r="B212" t="str">
            <v>6840 — Equipment Rental Fees</v>
          </cell>
          <cell r="C212">
            <v>49749</v>
          </cell>
          <cell r="E212">
            <v>49749</v>
          </cell>
        </row>
        <row r="213">
          <cell r="A213" t="str">
            <v>6800</v>
          </cell>
          <cell r="B213" t="str">
            <v>6841 — Supplies &amp; Furniture Rental</v>
          </cell>
          <cell r="E213">
            <v>0</v>
          </cell>
        </row>
        <row r="214">
          <cell r="A214" t="str">
            <v>6800</v>
          </cell>
          <cell r="B214" t="str">
            <v>6850 — Food/Meals</v>
          </cell>
          <cell r="C214">
            <v>21904</v>
          </cell>
          <cell r="E214">
            <v>21904</v>
          </cell>
        </row>
        <row r="215">
          <cell r="A215" t="str">
            <v>6800</v>
          </cell>
          <cell r="B215" t="str">
            <v>6851 — Catering</v>
          </cell>
          <cell r="C215">
            <v>6663</v>
          </cell>
          <cell r="E215">
            <v>6663</v>
          </cell>
        </row>
        <row r="216">
          <cell r="A216" t="str">
            <v>6800</v>
          </cell>
          <cell r="B216" t="str">
            <v>6860 — Media and Technology</v>
          </cell>
          <cell r="C216">
            <v>67568</v>
          </cell>
          <cell r="E216">
            <v>67568</v>
          </cell>
        </row>
        <row r="217">
          <cell r="A217" t="str">
            <v>6800</v>
          </cell>
          <cell r="B217" t="str">
            <v>6861 — Photography</v>
          </cell>
          <cell r="E217">
            <v>0</v>
          </cell>
        </row>
        <row r="218">
          <cell r="A218" t="str">
            <v>6800</v>
          </cell>
          <cell r="B218" t="str">
            <v>6865 — Supplies &amp; Materials</v>
          </cell>
          <cell r="C218">
            <v>11954</v>
          </cell>
          <cell r="E218">
            <v>11954</v>
          </cell>
        </row>
        <row r="219">
          <cell r="A219" t="str">
            <v>6800</v>
          </cell>
          <cell r="B219" t="str">
            <v>6880 — Registration Materials</v>
          </cell>
          <cell r="E219">
            <v>0</v>
          </cell>
        </row>
        <row r="220">
          <cell r="A220" t="str">
            <v>6800</v>
          </cell>
          <cell r="B220" t="str">
            <v>6890 — Space Rental Fees</v>
          </cell>
          <cell r="C220">
            <v>41511</v>
          </cell>
          <cell r="E220">
            <v>41511</v>
          </cell>
        </row>
        <row r="221">
          <cell r="A221" t="str">
            <v>6800</v>
          </cell>
          <cell r="B221" t="str">
            <v>6895 — Travel and Lodging</v>
          </cell>
          <cell r="C221">
            <v>38570</v>
          </cell>
          <cell r="E221">
            <v>38570</v>
          </cell>
        </row>
        <row r="222">
          <cell r="A222" t="str">
            <v>6800</v>
          </cell>
          <cell r="B222" t="str">
            <v>6899 — Miscellaneous costs</v>
          </cell>
          <cell r="C222">
            <v>14733</v>
          </cell>
          <cell r="E222">
            <v>14733</v>
          </cell>
        </row>
        <row r="223">
          <cell r="A223" t="str">
            <v>4100</v>
          </cell>
          <cell r="B223" t="str">
            <v>4100 — Corporate</v>
          </cell>
          <cell r="C223">
            <v>-1000</v>
          </cell>
          <cell r="E223">
            <v>-1000</v>
          </cell>
        </row>
        <row r="224">
          <cell r="A224" t="str">
            <v>4200</v>
          </cell>
          <cell r="B224" t="str">
            <v>4200 — Foundation</v>
          </cell>
          <cell r="C224">
            <v>-250</v>
          </cell>
          <cell r="E224">
            <v>-250</v>
          </cell>
        </row>
        <row r="225">
          <cell r="A225">
            <v>4400</v>
          </cell>
          <cell r="B225" t="str">
            <v>4400 — In-Kind</v>
          </cell>
          <cell r="E225">
            <v>0</v>
          </cell>
        </row>
        <row r="226">
          <cell r="A226" t="str">
            <v>4500</v>
          </cell>
          <cell r="B226" t="str">
            <v>4500 — Individual</v>
          </cell>
          <cell r="E226">
            <v>0</v>
          </cell>
        </row>
        <row r="227">
          <cell r="A227">
            <v>4800</v>
          </cell>
          <cell r="B227" t="str">
            <v>4800 — Miscellaneous Income</v>
          </cell>
          <cell r="E227">
            <v>0</v>
          </cell>
        </row>
        <row r="228">
          <cell r="A228" t="str">
            <v>4850</v>
          </cell>
          <cell r="B228" t="str">
            <v>4850 — Membership dues</v>
          </cell>
          <cell r="C228">
            <v>-83392</v>
          </cell>
          <cell r="E228">
            <v>-83392</v>
          </cell>
        </row>
        <row r="229">
          <cell r="A229">
            <v>4890</v>
          </cell>
          <cell r="B229" t="str">
            <v>4890 — Interest Income</v>
          </cell>
          <cell r="E229">
            <v>0</v>
          </cell>
        </row>
        <row r="230">
          <cell r="A230" t="str">
            <v>6000</v>
          </cell>
          <cell r="B230" t="str">
            <v>6110 — Accounting</v>
          </cell>
          <cell r="E230">
            <v>0</v>
          </cell>
        </row>
        <row r="231">
          <cell r="A231" t="str">
            <v>6000</v>
          </cell>
          <cell r="B231" t="str">
            <v>6120 — Advertising/Promotional</v>
          </cell>
          <cell r="C231">
            <v>150</v>
          </cell>
          <cell r="E231">
            <v>150</v>
          </cell>
        </row>
        <row r="232">
          <cell r="A232" t="str">
            <v>6000</v>
          </cell>
          <cell r="B232" t="str">
            <v>6130 — Bank Fees</v>
          </cell>
          <cell r="C232">
            <v>1221</v>
          </cell>
          <cell r="E232">
            <v>1221</v>
          </cell>
        </row>
        <row r="233">
          <cell r="A233">
            <v>6000</v>
          </cell>
          <cell r="B233" t="str">
            <v>6140 — Consultants</v>
          </cell>
          <cell r="E233">
            <v>0</v>
          </cell>
        </row>
        <row r="234">
          <cell r="A234" t="str">
            <v>6000</v>
          </cell>
          <cell r="B234" t="str">
            <v>6150 — Continuing Education</v>
          </cell>
          <cell r="E234">
            <v>0</v>
          </cell>
        </row>
        <row r="235">
          <cell r="A235" t="str">
            <v>6000</v>
          </cell>
          <cell r="B235" t="str">
            <v>6155 — Seminars &amp; Meetings</v>
          </cell>
          <cell r="E235">
            <v>0</v>
          </cell>
        </row>
        <row r="236">
          <cell r="A236" t="str">
            <v>6000</v>
          </cell>
          <cell r="B236" t="str">
            <v>6170 — Depreciation Expense</v>
          </cell>
          <cell r="E236">
            <v>0</v>
          </cell>
        </row>
        <row r="237">
          <cell r="A237" t="str">
            <v>6000</v>
          </cell>
          <cell r="B237" t="str">
            <v>6180 — Dues &amp; Subscriptions</v>
          </cell>
          <cell r="E237">
            <v>0</v>
          </cell>
        </row>
        <row r="238">
          <cell r="A238" t="str">
            <v>6000</v>
          </cell>
          <cell r="B238" t="str">
            <v>6190 — Insurance</v>
          </cell>
          <cell r="E238">
            <v>0</v>
          </cell>
        </row>
        <row r="239">
          <cell r="A239" t="str">
            <v>6000</v>
          </cell>
          <cell r="B239" t="str">
            <v>6200 — Interest Expense</v>
          </cell>
          <cell r="E239">
            <v>0</v>
          </cell>
        </row>
        <row r="240">
          <cell r="A240" t="str">
            <v>6000</v>
          </cell>
          <cell r="B240" t="str">
            <v>6210 — Leasing</v>
          </cell>
          <cell r="E240">
            <v>0</v>
          </cell>
        </row>
        <row r="241">
          <cell r="A241" t="str">
            <v>6000</v>
          </cell>
          <cell r="B241" t="str">
            <v>6220 — Legal &amp; Professional Fees</v>
          </cell>
          <cell r="E241">
            <v>0</v>
          </cell>
        </row>
        <row r="242">
          <cell r="A242" t="str">
            <v>6000</v>
          </cell>
          <cell r="B242" t="str">
            <v>6230 — Meals</v>
          </cell>
          <cell r="C242">
            <v>1305</v>
          </cell>
          <cell r="E242">
            <v>1305</v>
          </cell>
        </row>
        <row r="243">
          <cell r="A243" t="str">
            <v>6000</v>
          </cell>
          <cell r="B243" t="str">
            <v>6240 — Printed Materials</v>
          </cell>
          <cell r="C243">
            <v>4514</v>
          </cell>
          <cell r="E243">
            <v>4514</v>
          </cell>
        </row>
        <row r="244">
          <cell r="A244" t="str">
            <v>6000</v>
          </cell>
          <cell r="B244" t="str">
            <v>6260 — Shipping &amp; Postage</v>
          </cell>
          <cell r="C244">
            <v>28</v>
          </cell>
          <cell r="E244">
            <v>28</v>
          </cell>
        </row>
        <row r="245">
          <cell r="A245" t="str">
            <v>6000</v>
          </cell>
          <cell r="B245" t="str">
            <v>6270 — Space Rental Fees</v>
          </cell>
          <cell r="E245">
            <v>0</v>
          </cell>
        </row>
        <row r="246">
          <cell r="A246" t="str">
            <v>6000</v>
          </cell>
          <cell r="B246" t="str">
            <v>6280 — Supplies &amp; Materials</v>
          </cell>
          <cell r="E246">
            <v>0</v>
          </cell>
        </row>
        <row r="247">
          <cell r="A247" t="str">
            <v>6000</v>
          </cell>
          <cell r="B247" t="str">
            <v>6290 — Technology</v>
          </cell>
          <cell r="E247">
            <v>0</v>
          </cell>
        </row>
        <row r="248">
          <cell r="A248" t="str">
            <v>6000</v>
          </cell>
          <cell r="B248" t="str">
            <v>6300 — Telephone/Internet</v>
          </cell>
          <cell r="C248">
            <v>7</v>
          </cell>
          <cell r="E248">
            <v>7</v>
          </cell>
        </row>
        <row r="249">
          <cell r="A249" t="str">
            <v>6000</v>
          </cell>
          <cell r="B249" t="str">
            <v>6310 — Travel and Lodging</v>
          </cell>
          <cell r="C249">
            <v>5204</v>
          </cell>
          <cell r="E249">
            <v>5204</v>
          </cell>
        </row>
        <row r="250">
          <cell r="A250" t="str">
            <v>6000</v>
          </cell>
          <cell r="B250" t="str">
            <v>6320 — Utilities</v>
          </cell>
          <cell r="E250">
            <v>0</v>
          </cell>
        </row>
        <row r="251">
          <cell r="A251" t="str">
            <v>6000</v>
          </cell>
          <cell r="B251" t="str">
            <v>6330 — Website Fees</v>
          </cell>
          <cell r="E251">
            <v>0</v>
          </cell>
        </row>
        <row r="252">
          <cell r="A252" t="str">
            <v>6000</v>
          </cell>
          <cell r="B252" t="str">
            <v>6340 — Miscellaneous</v>
          </cell>
          <cell r="C252">
            <v>95</v>
          </cell>
          <cell r="E252">
            <v>95</v>
          </cell>
        </row>
        <row r="253">
          <cell r="A253">
            <v>6000</v>
          </cell>
          <cell r="B253" t="str">
            <v>6360 — Taxes and Filing Fees</v>
          </cell>
          <cell r="E253">
            <v>0</v>
          </cell>
        </row>
        <row r="254">
          <cell r="A254" t="str">
            <v>6500</v>
          </cell>
          <cell r="B254" t="str">
            <v>6500 — Internships - Other</v>
          </cell>
          <cell r="E254">
            <v>0</v>
          </cell>
        </row>
        <row r="255">
          <cell r="A255" t="str">
            <v>6500</v>
          </cell>
          <cell r="B255" t="str">
            <v>6530 — Stipend/Bonus</v>
          </cell>
          <cell r="E255">
            <v>0</v>
          </cell>
        </row>
        <row r="256">
          <cell r="A256">
            <v>6600</v>
          </cell>
          <cell r="B256" t="str">
            <v>6680 — Tools &amp; Software</v>
          </cell>
          <cell r="E256">
            <v>0</v>
          </cell>
        </row>
        <row r="257">
          <cell r="A257" t="str">
            <v>6700</v>
          </cell>
          <cell r="B257" t="str">
            <v>6701 — Salary</v>
          </cell>
          <cell r="C257">
            <v>105662</v>
          </cell>
          <cell r="E257">
            <v>105662</v>
          </cell>
        </row>
        <row r="258">
          <cell r="A258" t="str">
            <v>6700</v>
          </cell>
          <cell r="B258" t="str">
            <v>6720 — Health Insurance Premiums</v>
          </cell>
          <cell r="E258">
            <v>0</v>
          </cell>
        </row>
        <row r="259">
          <cell r="A259" t="str">
            <v>6700</v>
          </cell>
          <cell r="B259" t="str">
            <v>6730 — HSA</v>
          </cell>
          <cell r="E259">
            <v>0</v>
          </cell>
        </row>
        <row r="260">
          <cell r="A260" t="str">
            <v>6700</v>
          </cell>
          <cell r="B260" t="str">
            <v>6740 — Payroll Taxes</v>
          </cell>
          <cell r="C260">
            <v>8115</v>
          </cell>
          <cell r="E260">
            <v>8115</v>
          </cell>
        </row>
        <row r="261">
          <cell r="A261" t="str">
            <v>6700</v>
          </cell>
          <cell r="B261" t="str">
            <v>6760 — W/C Insurance</v>
          </cell>
          <cell r="E261">
            <v>0</v>
          </cell>
        </row>
        <row r="262">
          <cell r="A262" t="str">
            <v>6700</v>
          </cell>
          <cell r="B262" t="str">
            <v>6770 — Transit Check</v>
          </cell>
          <cell r="E262">
            <v>0</v>
          </cell>
        </row>
        <row r="263">
          <cell r="A263" t="str">
            <v>6700</v>
          </cell>
          <cell r="B263" t="str">
            <v>6790 — Payroll Processing Fees</v>
          </cell>
          <cell r="E263">
            <v>0</v>
          </cell>
        </row>
        <row r="264">
          <cell r="A264">
            <v>6800</v>
          </cell>
          <cell r="B264" t="str">
            <v>6810 — Advertising/Promotional</v>
          </cell>
          <cell r="E264">
            <v>0</v>
          </cell>
        </row>
        <row r="265">
          <cell r="A265" t="str">
            <v>6800</v>
          </cell>
          <cell r="B265" t="str">
            <v>6811 — Branding/Signage</v>
          </cell>
          <cell r="E265">
            <v>0</v>
          </cell>
        </row>
        <row r="266">
          <cell r="A266" t="str">
            <v>6800</v>
          </cell>
          <cell r="B266" t="str">
            <v>6815 — Printed Materials</v>
          </cell>
          <cell r="E266">
            <v>0</v>
          </cell>
        </row>
        <row r="267">
          <cell r="A267" t="str">
            <v>6800</v>
          </cell>
          <cell r="B267" t="str">
            <v>6820 — Audio Visual</v>
          </cell>
          <cell r="E267">
            <v>0</v>
          </cell>
        </row>
        <row r="268">
          <cell r="A268" t="str">
            <v>6800</v>
          </cell>
          <cell r="B268" t="str">
            <v>6825 — Speaker fees</v>
          </cell>
          <cell r="E268">
            <v>0</v>
          </cell>
        </row>
        <row r="269">
          <cell r="A269" t="str">
            <v>6800</v>
          </cell>
          <cell r="B269" t="str">
            <v>6829 — Event Management &amp; Logistics</v>
          </cell>
          <cell r="E269">
            <v>0</v>
          </cell>
        </row>
        <row r="270">
          <cell r="A270" t="str">
            <v>6800</v>
          </cell>
          <cell r="B270" t="str">
            <v>6830 — Consultants- Operations</v>
          </cell>
          <cell r="E270">
            <v>0</v>
          </cell>
        </row>
        <row r="271">
          <cell r="A271" t="str">
            <v>6800</v>
          </cell>
          <cell r="B271" t="str">
            <v>6831 — Contractors- Event Logistics</v>
          </cell>
          <cell r="E271">
            <v>0</v>
          </cell>
        </row>
        <row r="272">
          <cell r="A272" t="str">
            <v>6800</v>
          </cell>
          <cell r="B272" t="str">
            <v>6840 — Equipment Rental Fees</v>
          </cell>
          <cell r="E272">
            <v>0</v>
          </cell>
        </row>
        <row r="273">
          <cell r="A273" t="str">
            <v>6800</v>
          </cell>
          <cell r="B273" t="str">
            <v>6841 — Supplies &amp; Furniture Rental</v>
          </cell>
          <cell r="E273">
            <v>0</v>
          </cell>
        </row>
        <row r="274">
          <cell r="A274" t="str">
            <v>6800</v>
          </cell>
          <cell r="B274" t="str">
            <v>6850 — Food/Meals</v>
          </cell>
          <cell r="C274">
            <v>444</v>
          </cell>
          <cell r="E274">
            <v>444</v>
          </cell>
        </row>
        <row r="275">
          <cell r="A275" t="str">
            <v>6800</v>
          </cell>
          <cell r="B275" t="str">
            <v>6851 — Catering</v>
          </cell>
          <cell r="E275">
            <v>0</v>
          </cell>
        </row>
        <row r="276">
          <cell r="A276" t="str">
            <v>6800</v>
          </cell>
          <cell r="B276" t="str">
            <v>6860 — Media and Technology</v>
          </cell>
          <cell r="C276">
            <v>110</v>
          </cell>
          <cell r="E276">
            <v>110</v>
          </cell>
        </row>
        <row r="277">
          <cell r="A277" t="str">
            <v>6800</v>
          </cell>
          <cell r="B277" t="str">
            <v>6861 — Photography</v>
          </cell>
          <cell r="E277">
            <v>0</v>
          </cell>
        </row>
        <row r="278">
          <cell r="A278" t="str">
            <v>6800</v>
          </cell>
          <cell r="B278" t="str">
            <v>6865 — Supplies &amp; Materials</v>
          </cell>
          <cell r="E278">
            <v>0</v>
          </cell>
        </row>
        <row r="279">
          <cell r="A279" t="str">
            <v>6800</v>
          </cell>
          <cell r="B279" t="str">
            <v>6880 — Registration Materials</v>
          </cell>
          <cell r="E279">
            <v>0</v>
          </cell>
        </row>
        <row r="280">
          <cell r="A280" t="str">
            <v>6800</v>
          </cell>
          <cell r="B280" t="str">
            <v>6890 — Space Rental Fees</v>
          </cell>
          <cell r="E280">
            <v>0</v>
          </cell>
        </row>
        <row r="281">
          <cell r="A281" t="str">
            <v>6800</v>
          </cell>
          <cell r="B281" t="str">
            <v>6895 — Travel and Lodging</v>
          </cell>
          <cell r="C281">
            <v>5002</v>
          </cell>
          <cell r="E281">
            <v>5002</v>
          </cell>
        </row>
        <row r="282">
          <cell r="A282" t="str">
            <v>6800</v>
          </cell>
          <cell r="B282" t="str">
            <v>6899 — Miscellaneous costs</v>
          </cell>
          <cell r="C282">
            <v>30</v>
          </cell>
          <cell r="E282">
            <v>30</v>
          </cell>
        </row>
        <row r="283">
          <cell r="A283" t="str">
            <v>4100</v>
          </cell>
          <cell r="B283" t="str">
            <v>4100 — Corporate</v>
          </cell>
          <cell r="E283">
            <v>0</v>
          </cell>
        </row>
        <row r="284">
          <cell r="A284" t="str">
            <v>4200</v>
          </cell>
          <cell r="B284" t="str">
            <v>4200 — Foundation</v>
          </cell>
          <cell r="E284">
            <v>0</v>
          </cell>
        </row>
        <row r="285">
          <cell r="A285">
            <v>4400</v>
          </cell>
          <cell r="B285" t="str">
            <v>4400 — In-Kind</v>
          </cell>
          <cell r="E285">
            <v>0</v>
          </cell>
        </row>
        <row r="286">
          <cell r="A286" t="str">
            <v>4500</v>
          </cell>
          <cell r="B286" t="str">
            <v>4500 — Individual</v>
          </cell>
          <cell r="E286">
            <v>0</v>
          </cell>
        </row>
        <row r="287">
          <cell r="A287">
            <v>4800</v>
          </cell>
          <cell r="B287" t="str">
            <v>4800 — Miscellaneous Income</v>
          </cell>
          <cell r="E287">
            <v>0</v>
          </cell>
        </row>
        <row r="288">
          <cell r="A288" t="str">
            <v>4850</v>
          </cell>
          <cell r="B288" t="str">
            <v>4850 — Membership dues</v>
          </cell>
          <cell r="E288">
            <v>0</v>
          </cell>
        </row>
        <row r="289">
          <cell r="A289">
            <v>4890</v>
          </cell>
          <cell r="B289" t="str">
            <v>4890 — Interest Income</v>
          </cell>
          <cell r="E289">
            <v>0</v>
          </cell>
        </row>
        <row r="290">
          <cell r="A290" t="str">
            <v>6000</v>
          </cell>
          <cell r="B290" t="str">
            <v>6110 — Accounting</v>
          </cell>
          <cell r="E290">
            <v>0</v>
          </cell>
        </row>
        <row r="291">
          <cell r="A291" t="str">
            <v>6000</v>
          </cell>
          <cell r="B291" t="str">
            <v>6120 — Advertising/Promotional</v>
          </cell>
          <cell r="E291">
            <v>0</v>
          </cell>
        </row>
        <row r="292">
          <cell r="A292" t="str">
            <v>6000</v>
          </cell>
          <cell r="B292" t="str">
            <v>6130 — Bank Fees</v>
          </cell>
          <cell r="E292">
            <v>0</v>
          </cell>
        </row>
        <row r="293">
          <cell r="A293">
            <v>6000</v>
          </cell>
          <cell r="B293" t="str">
            <v>6140 — Consultants</v>
          </cell>
          <cell r="E293">
            <v>0</v>
          </cell>
        </row>
        <row r="294">
          <cell r="A294" t="str">
            <v>6000</v>
          </cell>
          <cell r="B294" t="str">
            <v>6150 — Continuing Education</v>
          </cell>
          <cell r="E294">
            <v>0</v>
          </cell>
        </row>
        <row r="295">
          <cell r="A295" t="str">
            <v>6000</v>
          </cell>
          <cell r="B295" t="str">
            <v>6155 — Seminars &amp; Meetings</v>
          </cell>
          <cell r="E295">
            <v>0</v>
          </cell>
        </row>
        <row r="296">
          <cell r="A296" t="str">
            <v>6000</v>
          </cell>
          <cell r="B296" t="str">
            <v>6170 — Depreciation Expense</v>
          </cell>
          <cell r="E296">
            <v>0</v>
          </cell>
        </row>
        <row r="297">
          <cell r="A297" t="str">
            <v>6000</v>
          </cell>
          <cell r="B297" t="str">
            <v>6180 — Dues &amp; Subscriptions</v>
          </cell>
          <cell r="E297">
            <v>0</v>
          </cell>
        </row>
        <row r="298">
          <cell r="A298" t="str">
            <v>6000</v>
          </cell>
          <cell r="B298" t="str">
            <v>6190 — Insurance</v>
          </cell>
          <cell r="C298">
            <v>100</v>
          </cell>
          <cell r="E298">
            <v>100</v>
          </cell>
        </row>
        <row r="299">
          <cell r="A299" t="str">
            <v>6000</v>
          </cell>
          <cell r="B299" t="str">
            <v>6200 — Interest Expense</v>
          </cell>
          <cell r="E299">
            <v>0</v>
          </cell>
        </row>
        <row r="300">
          <cell r="A300" t="str">
            <v>6000</v>
          </cell>
          <cell r="B300" t="str">
            <v>6210 — Leasing</v>
          </cell>
          <cell r="E300">
            <v>0</v>
          </cell>
        </row>
        <row r="301">
          <cell r="A301" t="str">
            <v>6000</v>
          </cell>
          <cell r="B301" t="str">
            <v>6220 — Legal &amp; Professional Fees</v>
          </cell>
          <cell r="E301">
            <v>0</v>
          </cell>
        </row>
        <row r="302">
          <cell r="A302" t="str">
            <v>6000</v>
          </cell>
          <cell r="B302" t="str">
            <v>6230 — Meals</v>
          </cell>
          <cell r="C302">
            <v>15</v>
          </cell>
          <cell r="E302">
            <v>15</v>
          </cell>
        </row>
        <row r="303">
          <cell r="A303" t="str">
            <v>6000</v>
          </cell>
          <cell r="B303" t="str">
            <v>6240 — Printed Materials</v>
          </cell>
          <cell r="E303">
            <v>0</v>
          </cell>
        </row>
        <row r="304">
          <cell r="A304" t="str">
            <v>6000</v>
          </cell>
          <cell r="B304" t="str">
            <v>6260 — Shipping &amp; Postage</v>
          </cell>
          <cell r="E304">
            <v>0</v>
          </cell>
        </row>
        <row r="305">
          <cell r="A305" t="str">
            <v>6000</v>
          </cell>
          <cell r="B305" t="str">
            <v>6270 — Space Rental Fees</v>
          </cell>
          <cell r="E305">
            <v>0</v>
          </cell>
        </row>
        <row r="306">
          <cell r="A306" t="str">
            <v>6000</v>
          </cell>
          <cell r="B306" t="str">
            <v>6280 — Supplies &amp; Materials</v>
          </cell>
          <cell r="E306">
            <v>0</v>
          </cell>
        </row>
        <row r="307">
          <cell r="A307" t="str">
            <v>6000</v>
          </cell>
          <cell r="B307" t="str">
            <v>6290 — Technology</v>
          </cell>
          <cell r="E307">
            <v>0</v>
          </cell>
        </row>
        <row r="308">
          <cell r="A308" t="str">
            <v>6000</v>
          </cell>
          <cell r="B308" t="str">
            <v>6300 — Telephone/Internet</v>
          </cell>
          <cell r="E308">
            <v>0</v>
          </cell>
        </row>
        <row r="309">
          <cell r="A309" t="str">
            <v>6000</v>
          </cell>
          <cell r="B309" t="str">
            <v>6310 — Travel and Lodging</v>
          </cell>
          <cell r="E309">
            <v>0</v>
          </cell>
        </row>
        <row r="310">
          <cell r="A310" t="str">
            <v>6000</v>
          </cell>
          <cell r="B310" t="str">
            <v>6320 — Utilities</v>
          </cell>
          <cell r="E310">
            <v>0</v>
          </cell>
        </row>
        <row r="311">
          <cell r="A311" t="str">
            <v>6000</v>
          </cell>
          <cell r="B311" t="str">
            <v>6330 — Website Fees</v>
          </cell>
          <cell r="E311">
            <v>0</v>
          </cell>
        </row>
        <row r="312">
          <cell r="A312" t="str">
            <v>6000</v>
          </cell>
          <cell r="B312" t="str">
            <v>6340 — Miscellaneous</v>
          </cell>
          <cell r="E312">
            <v>0</v>
          </cell>
        </row>
        <row r="313">
          <cell r="A313">
            <v>6000</v>
          </cell>
          <cell r="B313" t="str">
            <v>6360 — Taxes and Filing Fees</v>
          </cell>
          <cell r="E313">
            <v>0</v>
          </cell>
        </row>
        <row r="314">
          <cell r="A314">
            <v>6400</v>
          </cell>
          <cell r="B314" t="str">
            <v>6440 — Seminars &amp; Meetings</v>
          </cell>
          <cell r="C314">
            <v>1658</v>
          </cell>
          <cell r="E314">
            <v>1658</v>
          </cell>
        </row>
        <row r="315">
          <cell r="A315" t="str">
            <v>6500</v>
          </cell>
          <cell r="B315" t="str">
            <v>6500 — Internships - Other</v>
          </cell>
          <cell r="E315">
            <v>0</v>
          </cell>
        </row>
        <row r="316">
          <cell r="A316" t="str">
            <v>6500</v>
          </cell>
          <cell r="B316" t="str">
            <v>6530 — Stipend/Bonus</v>
          </cell>
          <cell r="E316">
            <v>0</v>
          </cell>
        </row>
        <row r="317">
          <cell r="A317" t="str">
            <v>6700</v>
          </cell>
          <cell r="B317" t="str">
            <v>6701 — Salary</v>
          </cell>
          <cell r="E317">
            <v>0</v>
          </cell>
        </row>
        <row r="318">
          <cell r="A318" t="str">
            <v>6700</v>
          </cell>
          <cell r="B318" t="str">
            <v>6720 — Health Insurance Premiums</v>
          </cell>
          <cell r="E318">
            <v>0</v>
          </cell>
        </row>
        <row r="319">
          <cell r="A319" t="str">
            <v>6700</v>
          </cell>
          <cell r="B319" t="str">
            <v>6730 — HSA</v>
          </cell>
          <cell r="E319">
            <v>0</v>
          </cell>
        </row>
        <row r="320">
          <cell r="A320" t="str">
            <v>6700</v>
          </cell>
          <cell r="B320" t="str">
            <v>6740 — Payroll Taxes</v>
          </cell>
          <cell r="E320">
            <v>0</v>
          </cell>
        </row>
        <row r="321">
          <cell r="A321" t="str">
            <v>6700</v>
          </cell>
          <cell r="B321" t="str">
            <v>6760 — W/C Insurance</v>
          </cell>
          <cell r="E321">
            <v>0</v>
          </cell>
        </row>
        <row r="322">
          <cell r="A322" t="str">
            <v>6700</v>
          </cell>
          <cell r="B322" t="str">
            <v>6770 — Transit Check</v>
          </cell>
          <cell r="E322">
            <v>0</v>
          </cell>
        </row>
        <row r="323">
          <cell r="A323" t="str">
            <v>6700</v>
          </cell>
          <cell r="B323" t="str">
            <v>6790 — Payroll Processing Fees</v>
          </cell>
          <cell r="E323">
            <v>0</v>
          </cell>
        </row>
        <row r="324">
          <cell r="A324">
            <v>6800</v>
          </cell>
          <cell r="B324" t="str">
            <v>6810 — Advertising/Promotional</v>
          </cell>
          <cell r="E324">
            <v>0</v>
          </cell>
        </row>
        <row r="325">
          <cell r="A325" t="str">
            <v>6800</v>
          </cell>
          <cell r="B325" t="str">
            <v>6811 — Branding/Signage</v>
          </cell>
          <cell r="E325">
            <v>0</v>
          </cell>
        </row>
        <row r="326">
          <cell r="A326" t="str">
            <v>6800</v>
          </cell>
          <cell r="B326" t="str">
            <v>6815 — Printed Materials</v>
          </cell>
          <cell r="E326">
            <v>0</v>
          </cell>
        </row>
        <row r="327">
          <cell r="A327" t="str">
            <v>6800</v>
          </cell>
          <cell r="B327" t="str">
            <v>6820 — Audio Visual</v>
          </cell>
          <cell r="C327">
            <v>6700</v>
          </cell>
          <cell r="E327">
            <v>6700</v>
          </cell>
        </row>
        <row r="328">
          <cell r="A328" t="str">
            <v>6800</v>
          </cell>
          <cell r="B328" t="str">
            <v>6825 — Speaker fees</v>
          </cell>
          <cell r="E328">
            <v>0</v>
          </cell>
        </row>
        <row r="329">
          <cell r="A329" t="str">
            <v>6800</v>
          </cell>
          <cell r="B329" t="str">
            <v>6829 — Event Management &amp; Logistics</v>
          </cell>
          <cell r="E329">
            <v>0</v>
          </cell>
        </row>
        <row r="330">
          <cell r="A330" t="str">
            <v>6800</v>
          </cell>
          <cell r="B330" t="str">
            <v>6830 — Consultants- Operations</v>
          </cell>
          <cell r="E330">
            <v>0</v>
          </cell>
        </row>
        <row r="331">
          <cell r="A331" t="str">
            <v>6800</v>
          </cell>
          <cell r="B331" t="str">
            <v>6831 — Contractors- Event Logistics</v>
          </cell>
          <cell r="E331">
            <v>0</v>
          </cell>
        </row>
        <row r="332">
          <cell r="A332" t="str">
            <v>6800</v>
          </cell>
          <cell r="B332" t="str">
            <v>6840 — Equipment Rental Fees</v>
          </cell>
          <cell r="E332">
            <v>0</v>
          </cell>
        </row>
        <row r="333">
          <cell r="A333" t="str">
            <v>6800</v>
          </cell>
          <cell r="B333" t="str">
            <v>6841 — Supplies &amp; Furniture Rental</v>
          </cell>
          <cell r="E333">
            <v>0</v>
          </cell>
        </row>
        <row r="334">
          <cell r="A334" t="str">
            <v>6800</v>
          </cell>
          <cell r="B334" t="str">
            <v>6850 — Food/Meals</v>
          </cell>
          <cell r="C334">
            <v>534</v>
          </cell>
          <cell r="E334">
            <v>534</v>
          </cell>
        </row>
        <row r="335">
          <cell r="A335" t="str">
            <v>6800</v>
          </cell>
          <cell r="B335" t="str">
            <v>6851 — Catering</v>
          </cell>
          <cell r="C335">
            <v>3713</v>
          </cell>
          <cell r="E335">
            <v>3713</v>
          </cell>
        </row>
        <row r="336">
          <cell r="A336" t="str">
            <v>6800</v>
          </cell>
          <cell r="B336" t="str">
            <v>6860 — Media and Technology</v>
          </cell>
          <cell r="C336">
            <v>689</v>
          </cell>
          <cell r="E336">
            <v>689</v>
          </cell>
        </row>
        <row r="337">
          <cell r="A337" t="str">
            <v>6800</v>
          </cell>
          <cell r="B337" t="str">
            <v>6861 — Photography</v>
          </cell>
          <cell r="E337">
            <v>0</v>
          </cell>
        </row>
        <row r="338">
          <cell r="A338" t="str">
            <v>6800</v>
          </cell>
          <cell r="B338" t="str">
            <v>6865 — Supplies &amp; Materials</v>
          </cell>
          <cell r="C338">
            <v>424</v>
          </cell>
          <cell r="E338">
            <v>424</v>
          </cell>
        </row>
        <row r="339">
          <cell r="A339" t="str">
            <v>6800</v>
          </cell>
          <cell r="B339" t="str">
            <v>6880 — Registration Materials</v>
          </cell>
          <cell r="C339">
            <v>324</v>
          </cell>
          <cell r="E339">
            <v>324</v>
          </cell>
        </row>
        <row r="340">
          <cell r="A340" t="str">
            <v>6800</v>
          </cell>
          <cell r="B340" t="str">
            <v>6890 — Space Rental Fees</v>
          </cell>
          <cell r="E340">
            <v>0</v>
          </cell>
        </row>
        <row r="341">
          <cell r="A341" t="str">
            <v>6800</v>
          </cell>
          <cell r="B341" t="str">
            <v>6895 — Travel and Lodging</v>
          </cell>
          <cell r="C341">
            <v>3032</v>
          </cell>
          <cell r="E341">
            <v>3032</v>
          </cell>
        </row>
        <row r="342">
          <cell r="A342" t="str">
            <v>6800</v>
          </cell>
          <cell r="B342" t="str">
            <v>6899 — Miscellaneous costs</v>
          </cell>
          <cell r="C342">
            <v>500</v>
          </cell>
          <cell r="E342">
            <v>500</v>
          </cell>
        </row>
        <row r="343">
          <cell r="A343" t="str">
            <v>4100</v>
          </cell>
          <cell r="B343" t="str">
            <v>4100 — Corporate</v>
          </cell>
          <cell r="C343">
            <v>-2000</v>
          </cell>
          <cell r="E343">
            <v>-2000</v>
          </cell>
        </row>
        <row r="344">
          <cell r="A344" t="str">
            <v>4200</v>
          </cell>
          <cell r="B344" t="str">
            <v>4200 — Foundation</v>
          </cell>
          <cell r="E344">
            <v>0</v>
          </cell>
        </row>
        <row r="345">
          <cell r="A345">
            <v>4400</v>
          </cell>
          <cell r="B345" t="str">
            <v>4400 — In-Kind</v>
          </cell>
          <cell r="E345">
            <v>0</v>
          </cell>
        </row>
        <row r="346">
          <cell r="A346" t="str">
            <v>4500</v>
          </cell>
          <cell r="B346" t="str">
            <v>4500 — Individual</v>
          </cell>
          <cell r="E346">
            <v>0</v>
          </cell>
        </row>
        <row r="347">
          <cell r="A347">
            <v>4800</v>
          </cell>
          <cell r="B347" t="str">
            <v>4800 — Miscellaneous Income</v>
          </cell>
          <cell r="E347">
            <v>0</v>
          </cell>
        </row>
        <row r="348">
          <cell r="A348" t="str">
            <v>4850</v>
          </cell>
          <cell r="B348" t="str">
            <v>4850 — Membership dues</v>
          </cell>
          <cell r="E348">
            <v>0</v>
          </cell>
        </row>
        <row r="349">
          <cell r="A349">
            <v>4890</v>
          </cell>
          <cell r="B349" t="str">
            <v>4890 — Interest Income</v>
          </cell>
          <cell r="E349">
            <v>0</v>
          </cell>
        </row>
        <row r="350">
          <cell r="A350" t="str">
            <v>6000</v>
          </cell>
          <cell r="B350" t="str">
            <v>6110 — Accounting</v>
          </cell>
          <cell r="E350">
            <v>0</v>
          </cell>
        </row>
        <row r="351">
          <cell r="A351" t="str">
            <v>6000</v>
          </cell>
          <cell r="B351" t="str">
            <v>6120 — Advertising/Promotional</v>
          </cell>
          <cell r="E351">
            <v>0</v>
          </cell>
        </row>
        <row r="352">
          <cell r="A352" t="str">
            <v>6000</v>
          </cell>
          <cell r="B352" t="str">
            <v>6130 — Bank Fees</v>
          </cell>
          <cell r="C352">
            <v>29</v>
          </cell>
          <cell r="E352">
            <v>29</v>
          </cell>
        </row>
        <row r="353">
          <cell r="A353">
            <v>6000</v>
          </cell>
          <cell r="B353" t="str">
            <v>6140 — Consultants</v>
          </cell>
          <cell r="E353">
            <v>0</v>
          </cell>
        </row>
        <row r="354">
          <cell r="A354" t="str">
            <v>6000</v>
          </cell>
          <cell r="B354" t="str">
            <v>6150 — Continuing Education</v>
          </cell>
          <cell r="E354">
            <v>0</v>
          </cell>
        </row>
        <row r="355">
          <cell r="A355" t="str">
            <v>6000</v>
          </cell>
          <cell r="B355" t="str">
            <v>6155 — Seminars &amp; Meetings</v>
          </cell>
          <cell r="E355">
            <v>0</v>
          </cell>
        </row>
        <row r="356">
          <cell r="A356" t="str">
            <v>6000</v>
          </cell>
          <cell r="B356" t="str">
            <v>6170 — Depreciation Expense</v>
          </cell>
          <cell r="E356">
            <v>0</v>
          </cell>
        </row>
        <row r="357">
          <cell r="A357" t="str">
            <v>6000</v>
          </cell>
          <cell r="B357" t="str">
            <v>6180 — Dues &amp; Subscriptions</v>
          </cell>
          <cell r="E357">
            <v>0</v>
          </cell>
        </row>
        <row r="358">
          <cell r="A358" t="str">
            <v>6000</v>
          </cell>
          <cell r="B358" t="str">
            <v>6190 — Insurance</v>
          </cell>
          <cell r="E358">
            <v>0</v>
          </cell>
        </row>
        <row r="359">
          <cell r="A359" t="str">
            <v>6000</v>
          </cell>
          <cell r="B359" t="str">
            <v>6200 — Interest Expense</v>
          </cell>
          <cell r="E359">
            <v>0</v>
          </cell>
        </row>
        <row r="360">
          <cell r="A360" t="str">
            <v>6000</v>
          </cell>
          <cell r="B360" t="str">
            <v>6210 — Leasing</v>
          </cell>
          <cell r="E360">
            <v>0</v>
          </cell>
        </row>
        <row r="361">
          <cell r="A361" t="str">
            <v>6000</v>
          </cell>
          <cell r="B361" t="str">
            <v>6220 — Legal &amp; Professional Fees</v>
          </cell>
          <cell r="E361">
            <v>0</v>
          </cell>
        </row>
        <row r="362">
          <cell r="A362" t="str">
            <v>6000</v>
          </cell>
          <cell r="B362" t="str">
            <v>6230 — Meals</v>
          </cell>
          <cell r="E362">
            <v>0</v>
          </cell>
        </row>
        <row r="363">
          <cell r="A363" t="str">
            <v>6000</v>
          </cell>
          <cell r="B363" t="str">
            <v>6240 — Printed Materials</v>
          </cell>
          <cell r="E363">
            <v>0</v>
          </cell>
        </row>
        <row r="364">
          <cell r="A364" t="str">
            <v>6000</v>
          </cell>
          <cell r="B364" t="str">
            <v>6260 — Shipping &amp; Postage</v>
          </cell>
          <cell r="E364">
            <v>0</v>
          </cell>
        </row>
        <row r="365">
          <cell r="A365" t="str">
            <v>6000</v>
          </cell>
          <cell r="B365" t="str">
            <v>6270 — Space Rental Fees</v>
          </cell>
          <cell r="E365">
            <v>0</v>
          </cell>
        </row>
        <row r="366">
          <cell r="A366" t="str">
            <v>6000</v>
          </cell>
          <cell r="B366" t="str">
            <v>6280 — Supplies &amp; Materials</v>
          </cell>
          <cell r="E366">
            <v>0</v>
          </cell>
        </row>
        <row r="367">
          <cell r="A367" t="str">
            <v>6000</v>
          </cell>
          <cell r="B367" t="str">
            <v>6290 — Technology</v>
          </cell>
          <cell r="E367">
            <v>0</v>
          </cell>
        </row>
        <row r="368">
          <cell r="A368" t="str">
            <v>6000</v>
          </cell>
          <cell r="B368" t="str">
            <v>6300 — Telephone/Internet</v>
          </cell>
          <cell r="E368">
            <v>0</v>
          </cell>
        </row>
        <row r="369">
          <cell r="A369" t="str">
            <v>6000</v>
          </cell>
          <cell r="B369" t="str">
            <v>6310 — Travel and Lodging</v>
          </cell>
          <cell r="E369">
            <v>0</v>
          </cell>
        </row>
        <row r="370">
          <cell r="A370" t="str">
            <v>6000</v>
          </cell>
          <cell r="B370" t="str">
            <v>6320 — Utilities</v>
          </cell>
          <cell r="E370">
            <v>0</v>
          </cell>
        </row>
        <row r="371">
          <cell r="A371" t="str">
            <v>6000</v>
          </cell>
          <cell r="B371" t="str">
            <v>6330 — Website Fees</v>
          </cell>
          <cell r="E371">
            <v>0</v>
          </cell>
        </row>
        <row r="372">
          <cell r="A372" t="str">
            <v>6000</v>
          </cell>
          <cell r="B372" t="str">
            <v>6340 — Miscellaneous</v>
          </cell>
          <cell r="E372">
            <v>0</v>
          </cell>
        </row>
        <row r="373">
          <cell r="A373">
            <v>6000</v>
          </cell>
          <cell r="B373" t="str">
            <v>6360 — Taxes and Filing Fees</v>
          </cell>
          <cell r="E373">
            <v>0</v>
          </cell>
        </row>
        <row r="374">
          <cell r="A374" t="str">
            <v>6500</v>
          </cell>
          <cell r="B374" t="str">
            <v>6500 — Internships - Other</v>
          </cell>
          <cell r="E374">
            <v>0</v>
          </cell>
        </row>
        <row r="375">
          <cell r="A375" t="str">
            <v>6500</v>
          </cell>
          <cell r="B375" t="str">
            <v>6530 — Stipend/Bonus</v>
          </cell>
          <cell r="E375">
            <v>0</v>
          </cell>
        </row>
        <row r="376">
          <cell r="A376" t="str">
            <v>6700</v>
          </cell>
          <cell r="B376" t="str">
            <v>6701 — Salary</v>
          </cell>
          <cell r="E376">
            <v>0</v>
          </cell>
        </row>
        <row r="377">
          <cell r="A377" t="str">
            <v>6700</v>
          </cell>
          <cell r="B377" t="str">
            <v>6720 — Health Insurance Premiums</v>
          </cell>
          <cell r="E377">
            <v>0</v>
          </cell>
        </row>
        <row r="378">
          <cell r="A378" t="str">
            <v>6700</v>
          </cell>
          <cell r="B378" t="str">
            <v>6730 — HSA</v>
          </cell>
          <cell r="E378">
            <v>0</v>
          </cell>
        </row>
        <row r="379">
          <cell r="A379" t="str">
            <v>6700</v>
          </cell>
          <cell r="B379" t="str">
            <v>6740 — Payroll Taxes</v>
          </cell>
          <cell r="E379">
            <v>0</v>
          </cell>
        </row>
        <row r="380">
          <cell r="A380" t="str">
            <v>6700</v>
          </cell>
          <cell r="B380" t="str">
            <v>6760 — W/C Insurance</v>
          </cell>
          <cell r="E380">
            <v>0</v>
          </cell>
        </row>
        <row r="381">
          <cell r="A381" t="str">
            <v>6700</v>
          </cell>
          <cell r="B381" t="str">
            <v>6770 — Transit Check</v>
          </cell>
          <cell r="E381">
            <v>0</v>
          </cell>
        </row>
        <row r="382">
          <cell r="A382" t="str">
            <v>6700</v>
          </cell>
          <cell r="B382" t="str">
            <v>6790 — Payroll Processing Fees</v>
          </cell>
          <cell r="E382">
            <v>0</v>
          </cell>
        </row>
        <row r="383">
          <cell r="A383">
            <v>6800</v>
          </cell>
          <cell r="B383" t="str">
            <v>6810 — Advertising/Promotional</v>
          </cell>
          <cell r="E383">
            <v>0</v>
          </cell>
        </row>
        <row r="384">
          <cell r="A384" t="str">
            <v>6800</v>
          </cell>
          <cell r="B384" t="str">
            <v>6811 — Branding/Signage</v>
          </cell>
          <cell r="E384">
            <v>0</v>
          </cell>
        </row>
        <row r="385">
          <cell r="A385" t="str">
            <v>6800</v>
          </cell>
          <cell r="B385" t="str">
            <v>6815 — Printed Materials</v>
          </cell>
          <cell r="E385">
            <v>0</v>
          </cell>
        </row>
        <row r="386">
          <cell r="A386" t="str">
            <v>6800</v>
          </cell>
          <cell r="B386" t="str">
            <v>6820 — Audio Visual</v>
          </cell>
          <cell r="C386">
            <v>5350</v>
          </cell>
          <cell r="E386">
            <v>5350</v>
          </cell>
        </row>
        <row r="387">
          <cell r="A387" t="str">
            <v>6800</v>
          </cell>
          <cell r="B387" t="str">
            <v>6825 — Speaker fees</v>
          </cell>
          <cell r="E387">
            <v>0</v>
          </cell>
        </row>
        <row r="388">
          <cell r="A388" t="str">
            <v>6800</v>
          </cell>
          <cell r="B388" t="str">
            <v>6829 — Event Management &amp; Logistics</v>
          </cell>
          <cell r="E388">
            <v>0</v>
          </cell>
        </row>
        <row r="389">
          <cell r="A389" t="str">
            <v>6800</v>
          </cell>
          <cell r="B389" t="str">
            <v>6830 — Consultants- Operations</v>
          </cell>
          <cell r="E389">
            <v>0</v>
          </cell>
        </row>
        <row r="390">
          <cell r="A390" t="str">
            <v>6800</v>
          </cell>
          <cell r="B390" t="str">
            <v>6831 — Contractors- Event Logistics</v>
          </cell>
          <cell r="E390">
            <v>0</v>
          </cell>
        </row>
        <row r="391">
          <cell r="A391" t="str">
            <v>6800</v>
          </cell>
          <cell r="B391" t="str">
            <v>6840 — Equipment Rental Fees</v>
          </cell>
          <cell r="E391">
            <v>0</v>
          </cell>
        </row>
        <row r="392">
          <cell r="A392" t="str">
            <v>6800</v>
          </cell>
          <cell r="B392" t="str">
            <v>6841 — Supplies &amp; Furniture Rental</v>
          </cell>
          <cell r="E392">
            <v>0</v>
          </cell>
        </row>
        <row r="393">
          <cell r="A393" t="str">
            <v>6800</v>
          </cell>
          <cell r="B393" t="str">
            <v>6850 — Food/Meals</v>
          </cell>
          <cell r="C393">
            <v>596</v>
          </cell>
          <cell r="E393">
            <v>596</v>
          </cell>
        </row>
        <row r="394">
          <cell r="A394" t="str">
            <v>6800</v>
          </cell>
          <cell r="B394" t="str">
            <v>6851 — Catering</v>
          </cell>
          <cell r="E394">
            <v>0</v>
          </cell>
        </row>
        <row r="395">
          <cell r="A395" t="str">
            <v>6800</v>
          </cell>
          <cell r="B395" t="str">
            <v>6860 — Media and Technology</v>
          </cell>
          <cell r="E395">
            <v>0</v>
          </cell>
        </row>
        <row r="396">
          <cell r="A396" t="str">
            <v>6800</v>
          </cell>
          <cell r="B396" t="str">
            <v>6861 — Photography</v>
          </cell>
          <cell r="E396">
            <v>0</v>
          </cell>
        </row>
        <row r="397">
          <cell r="A397" t="str">
            <v>6800</v>
          </cell>
          <cell r="B397" t="str">
            <v>6865 — Supplies &amp; Materials</v>
          </cell>
          <cell r="E397">
            <v>0</v>
          </cell>
        </row>
        <row r="398">
          <cell r="A398" t="str">
            <v>6800</v>
          </cell>
          <cell r="B398" t="str">
            <v>6880 — Registration Materials</v>
          </cell>
          <cell r="C398">
            <v>492</v>
          </cell>
          <cell r="E398">
            <v>492</v>
          </cell>
        </row>
        <row r="399">
          <cell r="A399" t="str">
            <v>6800</v>
          </cell>
          <cell r="B399" t="str">
            <v>6890 — Space Rental Fees</v>
          </cell>
          <cell r="C399">
            <v>213</v>
          </cell>
          <cell r="E399">
            <v>213</v>
          </cell>
        </row>
        <row r="400">
          <cell r="A400" t="str">
            <v>6800</v>
          </cell>
          <cell r="B400" t="str">
            <v>6895 — Travel and Lodging</v>
          </cell>
          <cell r="C400">
            <v>6791</v>
          </cell>
          <cell r="E400">
            <v>6791</v>
          </cell>
        </row>
        <row r="401">
          <cell r="A401" t="str">
            <v>6000</v>
          </cell>
          <cell r="B401" t="str">
            <v>6230 — Meals</v>
          </cell>
          <cell r="C401">
            <v>762</v>
          </cell>
          <cell r="E401">
            <v>762</v>
          </cell>
        </row>
        <row r="402">
          <cell r="A402" t="str">
            <v>6000</v>
          </cell>
          <cell r="B402" t="str">
            <v>6240 — Printed Materials</v>
          </cell>
          <cell r="E402">
            <v>0</v>
          </cell>
        </row>
        <row r="403">
          <cell r="A403" t="str">
            <v>6000</v>
          </cell>
          <cell r="B403" t="str">
            <v>6260 — Shipping &amp; Postage</v>
          </cell>
          <cell r="E403">
            <v>0</v>
          </cell>
        </row>
        <row r="404">
          <cell r="A404" t="str">
            <v>6000</v>
          </cell>
          <cell r="B404" t="str">
            <v>6270 — Space Rental Fees</v>
          </cell>
          <cell r="E404">
            <v>0</v>
          </cell>
        </row>
        <row r="405">
          <cell r="A405" t="str">
            <v>6000</v>
          </cell>
          <cell r="B405" t="str">
            <v>6280 — Supplies &amp; Materials</v>
          </cell>
          <cell r="E405">
            <v>0</v>
          </cell>
        </row>
        <row r="406">
          <cell r="A406" t="str">
            <v>6000</v>
          </cell>
          <cell r="B406" t="str">
            <v>6290 — Technology</v>
          </cell>
          <cell r="E406">
            <v>0</v>
          </cell>
        </row>
        <row r="407">
          <cell r="A407" t="str">
            <v>6000</v>
          </cell>
          <cell r="B407" t="str">
            <v>6300 — Telephone/Internet</v>
          </cell>
          <cell r="E407">
            <v>0</v>
          </cell>
        </row>
        <row r="408">
          <cell r="A408" t="str">
            <v>6000</v>
          </cell>
          <cell r="B408" t="str">
            <v>6310 — Travel and Lodging</v>
          </cell>
          <cell r="C408">
            <v>30</v>
          </cell>
          <cell r="E408">
            <v>30</v>
          </cell>
        </row>
        <row r="409">
          <cell r="A409" t="str">
            <v>6000</v>
          </cell>
          <cell r="B409" t="str">
            <v>6320 — Utilities</v>
          </cell>
          <cell r="E409">
            <v>0</v>
          </cell>
        </row>
        <row r="410">
          <cell r="A410" t="str">
            <v>6000</v>
          </cell>
          <cell r="B410" t="str">
            <v>6330 — Website Fees</v>
          </cell>
          <cell r="E410">
            <v>0</v>
          </cell>
        </row>
        <row r="411">
          <cell r="A411" t="str">
            <v>6000</v>
          </cell>
          <cell r="B411" t="str">
            <v>6340 — Miscellaneous</v>
          </cell>
          <cell r="C411">
            <v>12</v>
          </cell>
          <cell r="E411">
            <v>12</v>
          </cell>
        </row>
        <row r="412">
          <cell r="A412">
            <v>6000</v>
          </cell>
          <cell r="B412" t="str">
            <v>6360 — Taxes and Filing Fees</v>
          </cell>
          <cell r="E412">
            <v>0</v>
          </cell>
        </row>
        <row r="413">
          <cell r="A413" t="str">
            <v>6500</v>
          </cell>
          <cell r="B413" t="str">
            <v>6500 — Internships - Other</v>
          </cell>
          <cell r="C413">
            <v>-449</v>
          </cell>
          <cell r="E413">
            <v>-449</v>
          </cell>
        </row>
        <row r="414">
          <cell r="A414" t="str">
            <v>6500</v>
          </cell>
          <cell r="B414" t="str">
            <v>6530 — Stipend/Bonus</v>
          </cell>
          <cell r="C414">
            <v>43652</v>
          </cell>
          <cell r="E414">
            <v>43652</v>
          </cell>
        </row>
        <row r="415">
          <cell r="A415" t="str">
            <v>4100</v>
          </cell>
          <cell r="B415" t="str">
            <v>4100 — Corporate</v>
          </cell>
          <cell r="C415">
            <v>-20000</v>
          </cell>
          <cell r="E415">
            <v>-20000</v>
          </cell>
        </row>
        <row r="416">
          <cell r="A416" t="str">
            <v>4200</v>
          </cell>
          <cell r="B416" t="str">
            <v>4200 — Foundation</v>
          </cell>
          <cell r="E416">
            <v>0</v>
          </cell>
        </row>
        <row r="417">
          <cell r="A417">
            <v>4400</v>
          </cell>
          <cell r="B417" t="str">
            <v>4400 — In-Kind</v>
          </cell>
          <cell r="E417">
            <v>0</v>
          </cell>
        </row>
        <row r="418">
          <cell r="A418" t="str">
            <v>4500</v>
          </cell>
          <cell r="B418" t="str">
            <v>4500 — Individual</v>
          </cell>
          <cell r="E418">
            <v>0</v>
          </cell>
        </row>
        <row r="419">
          <cell r="A419">
            <v>4800</v>
          </cell>
          <cell r="B419" t="str">
            <v>4800 — Miscellaneous Income</v>
          </cell>
          <cell r="E419">
            <v>0</v>
          </cell>
        </row>
        <row r="420">
          <cell r="A420" t="str">
            <v>4850</v>
          </cell>
          <cell r="B420" t="str">
            <v>4850 — Membership dues</v>
          </cell>
          <cell r="E420">
            <v>0</v>
          </cell>
        </row>
        <row r="421">
          <cell r="A421">
            <v>4890</v>
          </cell>
          <cell r="B421" t="str">
            <v>4890 — Interest Income</v>
          </cell>
          <cell r="E421">
            <v>0</v>
          </cell>
        </row>
        <row r="422">
          <cell r="A422" t="str">
            <v>6000</v>
          </cell>
          <cell r="B422" t="str">
            <v>6110 — Accounting</v>
          </cell>
          <cell r="E422">
            <v>0</v>
          </cell>
        </row>
        <row r="423">
          <cell r="A423" t="str">
            <v>6000</v>
          </cell>
          <cell r="B423" t="str">
            <v>6120 — Advertising/Promotional</v>
          </cell>
          <cell r="E423">
            <v>0</v>
          </cell>
        </row>
        <row r="424">
          <cell r="A424" t="str">
            <v>6000</v>
          </cell>
          <cell r="B424" t="str">
            <v>6130 — Bank Fees</v>
          </cell>
          <cell r="E424">
            <v>0</v>
          </cell>
        </row>
        <row r="425">
          <cell r="A425">
            <v>6000</v>
          </cell>
          <cell r="B425" t="str">
            <v>6140 — Consultants</v>
          </cell>
          <cell r="E425">
            <v>0</v>
          </cell>
        </row>
        <row r="426">
          <cell r="A426" t="str">
            <v>6000</v>
          </cell>
          <cell r="B426" t="str">
            <v>6150 — Continuing Education</v>
          </cell>
          <cell r="E426">
            <v>0</v>
          </cell>
        </row>
        <row r="427">
          <cell r="A427" t="str">
            <v>6000</v>
          </cell>
          <cell r="B427" t="str">
            <v>6155 — Seminars &amp; Meetings</v>
          </cell>
          <cell r="E427">
            <v>0</v>
          </cell>
        </row>
        <row r="428">
          <cell r="A428" t="str">
            <v>6000</v>
          </cell>
          <cell r="B428" t="str">
            <v>6170 — Depreciation Expense</v>
          </cell>
          <cell r="E428">
            <v>0</v>
          </cell>
        </row>
        <row r="429">
          <cell r="A429" t="str">
            <v>6000</v>
          </cell>
          <cell r="B429" t="str">
            <v>6180 — Dues &amp; Subscriptions</v>
          </cell>
          <cell r="E429">
            <v>0</v>
          </cell>
        </row>
        <row r="430">
          <cell r="A430" t="str">
            <v>6000</v>
          </cell>
          <cell r="B430" t="str">
            <v>6190 — Insurance</v>
          </cell>
          <cell r="E430">
            <v>0</v>
          </cell>
        </row>
        <row r="431">
          <cell r="A431" t="str">
            <v>6000</v>
          </cell>
          <cell r="B431" t="str">
            <v>6200 — Interest Expense</v>
          </cell>
          <cell r="E431">
            <v>0</v>
          </cell>
        </row>
        <row r="432">
          <cell r="A432" t="str">
            <v>6000</v>
          </cell>
          <cell r="B432" t="str">
            <v>6210 — Leasing</v>
          </cell>
          <cell r="E432">
            <v>0</v>
          </cell>
        </row>
        <row r="433">
          <cell r="A433" t="str">
            <v>6000</v>
          </cell>
          <cell r="B433" t="str">
            <v>6220 — Legal &amp; Professional Fees</v>
          </cell>
          <cell r="E433">
            <v>0</v>
          </cell>
        </row>
        <row r="434">
          <cell r="A434" t="str">
            <v>6000</v>
          </cell>
          <cell r="B434" t="str">
            <v>6230 — Meals</v>
          </cell>
          <cell r="C434">
            <v>66</v>
          </cell>
          <cell r="E434">
            <v>66</v>
          </cell>
        </row>
        <row r="435">
          <cell r="A435" t="str">
            <v>6000</v>
          </cell>
          <cell r="B435" t="str">
            <v>6240 — Printed Materials</v>
          </cell>
          <cell r="E435">
            <v>0</v>
          </cell>
        </row>
        <row r="436">
          <cell r="A436" t="str">
            <v>6000</v>
          </cell>
          <cell r="B436" t="str">
            <v>6260 — Shipping &amp; Postage</v>
          </cell>
          <cell r="E436">
            <v>0</v>
          </cell>
        </row>
        <row r="437">
          <cell r="A437" t="str">
            <v>6000</v>
          </cell>
          <cell r="B437" t="str">
            <v>6270 — Space Rental Fees</v>
          </cell>
          <cell r="E437">
            <v>0</v>
          </cell>
        </row>
        <row r="438">
          <cell r="A438" t="str">
            <v>6000</v>
          </cell>
          <cell r="B438" t="str">
            <v>6280 — Supplies &amp; Materials</v>
          </cell>
          <cell r="E438">
            <v>0</v>
          </cell>
        </row>
        <row r="439">
          <cell r="A439" t="str">
            <v>6000</v>
          </cell>
          <cell r="B439" t="str">
            <v>6290 — Technology</v>
          </cell>
          <cell r="E439">
            <v>0</v>
          </cell>
        </row>
        <row r="440">
          <cell r="A440" t="str">
            <v>6000</v>
          </cell>
          <cell r="B440" t="str">
            <v>6300 — Telephone/Internet</v>
          </cell>
          <cell r="E440">
            <v>0</v>
          </cell>
        </row>
        <row r="441">
          <cell r="A441" t="str">
            <v>6000</v>
          </cell>
          <cell r="B441" t="str">
            <v>6310 — Travel and Lodging</v>
          </cell>
          <cell r="C441">
            <v>13</v>
          </cell>
          <cell r="E441">
            <v>13</v>
          </cell>
        </row>
        <row r="442">
          <cell r="A442" t="str">
            <v>6000</v>
          </cell>
          <cell r="B442" t="str">
            <v>6320 — Utilities</v>
          </cell>
          <cell r="E442">
            <v>0</v>
          </cell>
        </row>
        <row r="443">
          <cell r="A443" t="str">
            <v>6000</v>
          </cell>
          <cell r="B443" t="str">
            <v>6330 — Website Fees</v>
          </cell>
          <cell r="E443">
            <v>0</v>
          </cell>
        </row>
        <row r="444">
          <cell r="A444" t="str">
            <v>6000</v>
          </cell>
          <cell r="B444" t="str">
            <v>6340 — Miscellaneous</v>
          </cell>
          <cell r="E444">
            <v>0</v>
          </cell>
        </row>
        <row r="445">
          <cell r="A445">
            <v>6000</v>
          </cell>
          <cell r="B445" t="str">
            <v>6360 — Taxes and Filing Fees</v>
          </cell>
          <cell r="E445">
            <v>0</v>
          </cell>
        </row>
        <row r="446">
          <cell r="A446" t="str">
            <v>6500</v>
          </cell>
          <cell r="B446" t="str">
            <v>6500 — Internships - Other</v>
          </cell>
          <cell r="E446">
            <v>0</v>
          </cell>
        </row>
        <row r="447">
          <cell r="A447" t="str">
            <v>6500</v>
          </cell>
          <cell r="B447" t="str">
            <v>6530 — Stipend/Bonus</v>
          </cell>
          <cell r="E447">
            <v>0</v>
          </cell>
        </row>
        <row r="448">
          <cell r="A448">
            <v>6600</v>
          </cell>
          <cell r="B448" t="str">
            <v>6680 — Tools &amp; Software</v>
          </cell>
          <cell r="C448">
            <v>106</v>
          </cell>
          <cell r="E448">
            <v>106</v>
          </cell>
        </row>
        <row r="449">
          <cell r="A449" t="str">
            <v>6700</v>
          </cell>
          <cell r="B449" t="str">
            <v>6701 — Salary</v>
          </cell>
          <cell r="C449">
            <v>352249</v>
          </cell>
          <cell r="E449">
            <v>352249</v>
          </cell>
        </row>
        <row r="450">
          <cell r="A450" t="str">
            <v>6700</v>
          </cell>
          <cell r="B450" t="str">
            <v>6720 — Health Insurance Premiums</v>
          </cell>
          <cell r="E450">
            <v>0</v>
          </cell>
        </row>
        <row r="451">
          <cell r="A451" t="str">
            <v>6700</v>
          </cell>
          <cell r="B451" t="str">
            <v>6730 — HSA</v>
          </cell>
          <cell r="E451">
            <v>0</v>
          </cell>
        </row>
        <row r="452">
          <cell r="A452" t="str">
            <v>6700</v>
          </cell>
          <cell r="B452" t="str">
            <v>6740 — Payroll Taxes</v>
          </cell>
          <cell r="C452">
            <v>27083</v>
          </cell>
          <cell r="E452">
            <v>27083</v>
          </cell>
        </row>
        <row r="453">
          <cell r="A453" t="str">
            <v>6700</v>
          </cell>
          <cell r="B453" t="str">
            <v>6760 — W/C Insurance</v>
          </cell>
          <cell r="E453">
            <v>0</v>
          </cell>
        </row>
        <row r="454">
          <cell r="A454" t="str">
            <v>6700</v>
          </cell>
          <cell r="B454" t="str">
            <v>6770 — Transit Check</v>
          </cell>
          <cell r="E454">
            <v>0</v>
          </cell>
        </row>
        <row r="455">
          <cell r="A455" t="str">
            <v>6700</v>
          </cell>
          <cell r="B455" t="str">
            <v>6790 — Payroll Processing Fees</v>
          </cell>
          <cell r="E455">
            <v>0</v>
          </cell>
        </row>
        <row r="456">
          <cell r="A456">
            <v>6800</v>
          </cell>
          <cell r="B456" t="str">
            <v>6810 — Advertising/Promotional</v>
          </cell>
          <cell r="C456">
            <v>99</v>
          </cell>
          <cell r="E456">
            <v>99</v>
          </cell>
        </row>
        <row r="457">
          <cell r="A457" t="str">
            <v>6800</v>
          </cell>
          <cell r="B457" t="str">
            <v>6811 — Branding/Signage</v>
          </cell>
          <cell r="E457">
            <v>0</v>
          </cell>
        </row>
        <row r="458">
          <cell r="A458" t="str">
            <v>6800</v>
          </cell>
          <cell r="B458" t="str">
            <v>6815 — Printed Materials</v>
          </cell>
          <cell r="C458">
            <v>61</v>
          </cell>
          <cell r="E458">
            <v>61</v>
          </cell>
        </row>
        <row r="459">
          <cell r="A459" t="str">
            <v>6800</v>
          </cell>
          <cell r="B459" t="str">
            <v>6820 — Audio Visual</v>
          </cell>
          <cell r="C459">
            <v>-2051</v>
          </cell>
          <cell r="E459">
            <v>-2051</v>
          </cell>
        </row>
        <row r="460">
          <cell r="A460" t="str">
            <v>6800</v>
          </cell>
          <cell r="B460" t="str">
            <v>6850 — Food/Meals</v>
          </cell>
          <cell r="C460">
            <v>1509</v>
          </cell>
          <cell r="E460">
            <v>1509</v>
          </cell>
        </row>
        <row r="461">
          <cell r="A461" t="str">
            <v>6800</v>
          </cell>
          <cell r="B461" t="str">
            <v>6851 — Catering</v>
          </cell>
          <cell r="E461">
            <v>0</v>
          </cell>
        </row>
        <row r="462">
          <cell r="A462" t="str">
            <v>6800</v>
          </cell>
          <cell r="B462" t="str">
            <v>6860 — Media and Technology</v>
          </cell>
          <cell r="C462">
            <v>1608</v>
          </cell>
          <cell r="E462">
            <v>1608</v>
          </cell>
        </row>
        <row r="463">
          <cell r="A463" t="str">
            <v>6800</v>
          </cell>
          <cell r="B463" t="str">
            <v>6861 — Photography</v>
          </cell>
          <cell r="E463">
            <v>0</v>
          </cell>
        </row>
        <row r="464">
          <cell r="A464" t="str">
            <v>6800</v>
          </cell>
          <cell r="B464" t="str">
            <v>6865 — Supplies &amp; Materials</v>
          </cell>
          <cell r="C464">
            <v>12</v>
          </cell>
          <cell r="E464">
            <v>12</v>
          </cell>
        </row>
        <row r="465">
          <cell r="A465" t="str">
            <v>6800</v>
          </cell>
          <cell r="B465" t="str">
            <v>6880 — Registration Materials</v>
          </cell>
          <cell r="C465">
            <v>463</v>
          </cell>
          <cell r="E465">
            <v>463</v>
          </cell>
        </row>
        <row r="466">
          <cell r="A466" t="str">
            <v>6800</v>
          </cell>
          <cell r="B466" t="str">
            <v>6890 — Space Rental Fees</v>
          </cell>
          <cell r="C466">
            <v>759</v>
          </cell>
          <cell r="E466">
            <v>759</v>
          </cell>
        </row>
        <row r="467">
          <cell r="A467" t="str">
            <v>6800</v>
          </cell>
          <cell r="B467" t="str">
            <v>6895 — Travel and Lodging</v>
          </cell>
          <cell r="C467">
            <v>18473</v>
          </cell>
          <cell r="E467">
            <v>18473</v>
          </cell>
        </row>
        <row r="468">
          <cell r="A468" t="str">
            <v>6800</v>
          </cell>
          <cell r="B468" t="str">
            <v>6899 — Miscellaneous costs</v>
          </cell>
          <cell r="C468">
            <v>133</v>
          </cell>
          <cell r="E468">
            <v>133</v>
          </cell>
        </row>
        <row r="469">
          <cell r="A469" t="str">
            <v>4100</v>
          </cell>
          <cell r="B469" t="str">
            <v>4100 — Corporate</v>
          </cell>
          <cell r="C469">
            <v>-80000</v>
          </cell>
          <cell r="E469">
            <v>-80000</v>
          </cell>
        </row>
        <row r="470">
          <cell r="A470" t="str">
            <v>6800</v>
          </cell>
          <cell r="B470" t="str">
            <v>6820 — Audio Visual</v>
          </cell>
          <cell r="C470">
            <v>50525</v>
          </cell>
          <cell r="E470">
            <v>50525</v>
          </cell>
        </row>
        <row r="471">
          <cell r="A471" t="str">
            <v>6800</v>
          </cell>
          <cell r="B471" t="str">
            <v>6860 — Media and Technology</v>
          </cell>
          <cell r="C471">
            <v>213</v>
          </cell>
          <cell r="E471">
            <v>213</v>
          </cell>
        </row>
        <row r="472">
          <cell r="A472" t="str">
            <v>6800</v>
          </cell>
          <cell r="B472" t="str">
            <v>6861 — Photography</v>
          </cell>
          <cell r="E472">
            <v>0</v>
          </cell>
        </row>
        <row r="473">
          <cell r="A473" t="str">
            <v>6800</v>
          </cell>
          <cell r="B473" t="str">
            <v>6865 — Supplies &amp; Materials</v>
          </cell>
          <cell r="E473">
            <v>0</v>
          </cell>
        </row>
        <row r="474">
          <cell r="A474" t="str">
            <v>6800</v>
          </cell>
          <cell r="B474" t="str">
            <v>6880 — Registration Materials</v>
          </cell>
          <cell r="C474">
            <v>30</v>
          </cell>
          <cell r="E474">
            <v>30</v>
          </cell>
        </row>
        <row r="475">
          <cell r="A475" t="str">
            <v>6800</v>
          </cell>
          <cell r="B475" t="str">
            <v>6890 — Space Rental Fees</v>
          </cell>
          <cell r="E475">
            <v>0</v>
          </cell>
        </row>
        <row r="476">
          <cell r="A476" t="str">
            <v>6800</v>
          </cell>
          <cell r="B476" t="str">
            <v>6895 — Travel and Lodging</v>
          </cell>
          <cell r="C476">
            <v>-356</v>
          </cell>
          <cell r="E476">
            <v>-356</v>
          </cell>
        </row>
        <row r="477">
          <cell r="A477" t="str">
            <v>4100</v>
          </cell>
          <cell r="B477" t="str">
            <v>4100 — Corporate</v>
          </cell>
          <cell r="C477">
            <v>-1049468</v>
          </cell>
          <cell r="E477">
            <v>-1049468</v>
          </cell>
        </row>
        <row r="478">
          <cell r="A478" t="str">
            <v>4200</v>
          </cell>
          <cell r="B478" t="str">
            <v>4200 — Foundation</v>
          </cell>
          <cell r="C478">
            <v>-104500</v>
          </cell>
          <cell r="E478">
            <v>-104500</v>
          </cell>
        </row>
        <row r="479">
          <cell r="A479">
            <v>4400</v>
          </cell>
          <cell r="B479" t="str">
            <v>4400 — In-Kind</v>
          </cell>
          <cell r="C479">
            <v>-1676500</v>
          </cell>
          <cell r="E479">
            <v>-1676500</v>
          </cell>
        </row>
        <row r="480">
          <cell r="A480" t="str">
            <v>4500</v>
          </cell>
          <cell r="B480" t="str">
            <v>4500 — Individual</v>
          </cell>
          <cell r="C480">
            <v>-101050</v>
          </cell>
          <cell r="E480">
            <v>-101050</v>
          </cell>
        </row>
        <row r="481">
          <cell r="A481">
            <v>4800</v>
          </cell>
          <cell r="B481" t="str">
            <v>4800 — Miscellaneous Income</v>
          </cell>
          <cell r="E481">
            <v>0</v>
          </cell>
        </row>
        <row r="482">
          <cell r="A482" t="str">
            <v>4850</v>
          </cell>
          <cell r="B482" t="str">
            <v>4850 — Membership dues</v>
          </cell>
          <cell r="E482">
            <v>0</v>
          </cell>
        </row>
        <row r="483">
          <cell r="A483">
            <v>4890</v>
          </cell>
          <cell r="B483" t="str">
            <v>4890 — Interest Income</v>
          </cell>
          <cell r="E483">
            <v>0</v>
          </cell>
        </row>
        <row r="484">
          <cell r="A484" t="str">
            <v>6000</v>
          </cell>
          <cell r="B484" t="str">
            <v>6110 — Accounting</v>
          </cell>
          <cell r="E484">
            <v>0</v>
          </cell>
        </row>
        <row r="485">
          <cell r="A485" t="str">
            <v>6000</v>
          </cell>
          <cell r="B485" t="str">
            <v>6120 — Advertising/Promotional</v>
          </cell>
          <cell r="E485">
            <v>0</v>
          </cell>
        </row>
        <row r="486">
          <cell r="A486" t="str">
            <v>6000</v>
          </cell>
          <cell r="B486" t="str">
            <v>6130 — Bank Fees</v>
          </cell>
          <cell r="C486">
            <v>1524</v>
          </cell>
          <cell r="E486">
            <v>1524</v>
          </cell>
        </row>
        <row r="487">
          <cell r="A487">
            <v>6000</v>
          </cell>
          <cell r="B487" t="str">
            <v>6140 — Consultants</v>
          </cell>
          <cell r="C487">
            <v>5750</v>
          </cell>
          <cell r="E487">
            <v>5750</v>
          </cell>
        </row>
        <row r="488">
          <cell r="A488" t="str">
            <v>6000</v>
          </cell>
          <cell r="B488" t="str">
            <v>6150 — Continuing Education</v>
          </cell>
          <cell r="E488">
            <v>0</v>
          </cell>
        </row>
        <row r="489">
          <cell r="A489" t="str">
            <v>6000</v>
          </cell>
          <cell r="B489" t="str">
            <v>6155 — Seminars &amp; Meetings</v>
          </cell>
          <cell r="E489">
            <v>0</v>
          </cell>
        </row>
        <row r="490">
          <cell r="A490" t="str">
            <v>6000</v>
          </cell>
          <cell r="B490" t="str">
            <v>6170 — Depreciation Expense</v>
          </cell>
          <cell r="E490">
            <v>0</v>
          </cell>
        </row>
        <row r="491">
          <cell r="A491" t="str">
            <v>6000</v>
          </cell>
          <cell r="B491" t="str">
            <v>6180 — Dues &amp; Subscriptions</v>
          </cell>
          <cell r="E491">
            <v>0</v>
          </cell>
        </row>
        <row r="492">
          <cell r="A492" t="str">
            <v>6000</v>
          </cell>
          <cell r="B492" t="str">
            <v>6190 — Insurance</v>
          </cell>
          <cell r="E492">
            <v>0</v>
          </cell>
        </row>
        <row r="493">
          <cell r="A493" t="str">
            <v>6000</v>
          </cell>
          <cell r="B493" t="str">
            <v>6200 — Interest Expense</v>
          </cell>
          <cell r="E493">
            <v>0</v>
          </cell>
        </row>
        <row r="494">
          <cell r="A494" t="str">
            <v>6000</v>
          </cell>
          <cell r="B494" t="str">
            <v>6210 — Leasing</v>
          </cell>
          <cell r="E494">
            <v>0</v>
          </cell>
        </row>
        <row r="495">
          <cell r="A495" t="str">
            <v>6000</v>
          </cell>
          <cell r="B495" t="str">
            <v>6220 — Legal &amp; Professional Fees</v>
          </cell>
          <cell r="C495">
            <v>40000</v>
          </cell>
          <cell r="E495">
            <v>40000</v>
          </cell>
        </row>
        <row r="496">
          <cell r="A496" t="str">
            <v>6000</v>
          </cell>
          <cell r="B496" t="str">
            <v>6230 — Meals</v>
          </cell>
          <cell r="E496">
            <v>0</v>
          </cell>
        </row>
        <row r="497">
          <cell r="A497" t="str">
            <v>6000</v>
          </cell>
          <cell r="B497" t="str">
            <v>6240 — Printed Materials</v>
          </cell>
          <cell r="E497">
            <v>0</v>
          </cell>
        </row>
        <row r="498">
          <cell r="A498" t="str">
            <v>6000</v>
          </cell>
          <cell r="B498" t="str">
            <v>6260 — Shipping &amp; Postage</v>
          </cell>
          <cell r="E498">
            <v>0</v>
          </cell>
        </row>
        <row r="499">
          <cell r="A499" t="str">
            <v>6000</v>
          </cell>
          <cell r="B499" t="str">
            <v>6270 — Space Rental Fees</v>
          </cell>
          <cell r="E499">
            <v>0</v>
          </cell>
        </row>
        <row r="500">
          <cell r="A500" t="str">
            <v>6000</v>
          </cell>
          <cell r="B500" t="str">
            <v>6280 — Supplies &amp; Materials</v>
          </cell>
          <cell r="E500">
            <v>0</v>
          </cell>
        </row>
        <row r="501">
          <cell r="A501" t="str">
            <v>6000</v>
          </cell>
          <cell r="B501" t="str">
            <v>6290 — Technology</v>
          </cell>
          <cell r="E501">
            <v>0</v>
          </cell>
        </row>
        <row r="502">
          <cell r="A502" t="str">
            <v>6000</v>
          </cell>
          <cell r="B502" t="str">
            <v>6300 — Telephone/Internet</v>
          </cell>
          <cell r="E502">
            <v>0</v>
          </cell>
        </row>
        <row r="503">
          <cell r="A503" t="str">
            <v>6000</v>
          </cell>
          <cell r="B503" t="str">
            <v>6310 — Travel and Lodging</v>
          </cell>
          <cell r="C503">
            <v>904</v>
          </cell>
          <cell r="E503">
            <v>904</v>
          </cell>
        </row>
        <row r="504">
          <cell r="A504" t="str">
            <v>6000</v>
          </cell>
          <cell r="B504" t="str">
            <v>6320 — Utilities</v>
          </cell>
          <cell r="E504">
            <v>0</v>
          </cell>
        </row>
        <row r="505">
          <cell r="A505" t="str">
            <v>6000</v>
          </cell>
          <cell r="B505" t="str">
            <v>6330 — Website Fees</v>
          </cell>
          <cell r="E505">
            <v>0</v>
          </cell>
        </row>
        <row r="506">
          <cell r="A506" t="str">
            <v>6000</v>
          </cell>
          <cell r="B506" t="str">
            <v>6340 — Miscellaneous</v>
          </cell>
          <cell r="C506">
            <v>200</v>
          </cell>
          <cell r="E506">
            <v>200</v>
          </cell>
        </row>
        <row r="507">
          <cell r="A507">
            <v>6000</v>
          </cell>
          <cell r="B507" t="str">
            <v>6360 — Taxes and Filing Fees</v>
          </cell>
          <cell r="E507">
            <v>0</v>
          </cell>
        </row>
        <row r="508">
          <cell r="A508" t="str">
            <v>6500</v>
          </cell>
          <cell r="B508" t="str">
            <v>6500 — Internships - Other</v>
          </cell>
          <cell r="E508">
            <v>0</v>
          </cell>
        </row>
        <row r="509">
          <cell r="A509" t="str">
            <v>6500</v>
          </cell>
          <cell r="B509" t="str">
            <v>6530 — Stipend/Bonus</v>
          </cell>
          <cell r="C509">
            <v>2815</v>
          </cell>
          <cell r="E509">
            <v>2815</v>
          </cell>
        </row>
        <row r="510">
          <cell r="A510" t="str">
            <v>6700</v>
          </cell>
          <cell r="B510" t="str">
            <v>6701 — Salary</v>
          </cell>
          <cell r="E510">
            <v>0</v>
          </cell>
        </row>
        <row r="511">
          <cell r="A511" t="str">
            <v>6700</v>
          </cell>
          <cell r="B511" t="str">
            <v>6720 — Health Insurance Premiums</v>
          </cell>
          <cell r="E511">
            <v>0</v>
          </cell>
        </row>
        <row r="512">
          <cell r="A512" t="str">
            <v>6700</v>
          </cell>
          <cell r="B512" t="str">
            <v>6730 — HSA</v>
          </cell>
          <cell r="E512">
            <v>0</v>
          </cell>
        </row>
        <row r="513">
          <cell r="A513" t="str">
            <v>6700</v>
          </cell>
          <cell r="B513" t="str">
            <v>6740 — Payroll Taxes</v>
          </cell>
          <cell r="E513">
            <v>0</v>
          </cell>
        </row>
        <row r="514">
          <cell r="A514" t="str">
            <v>6700</v>
          </cell>
          <cell r="B514" t="str">
            <v>6760 — W/C Insurance</v>
          </cell>
          <cell r="E514">
            <v>0</v>
          </cell>
        </row>
        <row r="515">
          <cell r="A515" t="str">
            <v>6700</v>
          </cell>
          <cell r="B515" t="str">
            <v>6770 — Transit Check</v>
          </cell>
          <cell r="E515">
            <v>0</v>
          </cell>
        </row>
        <row r="516">
          <cell r="A516" t="str">
            <v>6700</v>
          </cell>
          <cell r="B516" t="str">
            <v>6790 — Payroll Processing Fees</v>
          </cell>
          <cell r="E516">
            <v>0</v>
          </cell>
        </row>
        <row r="517">
          <cell r="A517">
            <v>6800</v>
          </cell>
          <cell r="B517" t="str">
            <v>6810 — Advertising/Promotional</v>
          </cell>
          <cell r="C517">
            <v>56505</v>
          </cell>
          <cell r="E517">
            <v>56505</v>
          </cell>
        </row>
        <row r="518">
          <cell r="A518" t="str">
            <v>6800</v>
          </cell>
          <cell r="B518" t="str">
            <v>6811 — Branding/Signage</v>
          </cell>
          <cell r="C518">
            <v>174720</v>
          </cell>
          <cell r="E518">
            <v>174720</v>
          </cell>
        </row>
        <row r="519">
          <cell r="A519" t="str">
            <v>6800</v>
          </cell>
          <cell r="B519" t="str">
            <v>6815 — Printed Materials</v>
          </cell>
          <cell r="C519">
            <v>28031</v>
          </cell>
          <cell r="E519">
            <v>28031</v>
          </cell>
        </row>
        <row r="520">
          <cell r="A520" t="str">
            <v>6800</v>
          </cell>
          <cell r="B520" t="str">
            <v>6820 — Audio Visual</v>
          </cell>
          <cell r="C520">
            <v>402977</v>
          </cell>
          <cell r="E520">
            <v>402977</v>
          </cell>
        </row>
        <row r="521">
          <cell r="A521" t="str">
            <v>6800</v>
          </cell>
          <cell r="B521" t="str">
            <v>6825 — Speaker fees</v>
          </cell>
          <cell r="C521">
            <v>1464000</v>
          </cell>
          <cell r="E521">
            <v>1464000</v>
          </cell>
        </row>
        <row r="522">
          <cell r="A522" t="str">
            <v>6800</v>
          </cell>
          <cell r="B522" t="str">
            <v>6829 — Event Management &amp; Logistics</v>
          </cell>
          <cell r="C522">
            <v>59350</v>
          </cell>
          <cell r="E522">
            <v>59350</v>
          </cell>
        </row>
        <row r="523">
          <cell r="A523" t="str">
            <v>6800</v>
          </cell>
          <cell r="B523" t="str">
            <v>6830 — Consultants- Operations</v>
          </cell>
          <cell r="C523">
            <v>101158</v>
          </cell>
          <cell r="E523">
            <v>101158</v>
          </cell>
        </row>
        <row r="524">
          <cell r="A524" t="str">
            <v>6800</v>
          </cell>
          <cell r="B524" t="str">
            <v>6831 — Contractors- Event Logistics</v>
          </cell>
          <cell r="C524">
            <v>167720</v>
          </cell>
          <cell r="E524">
            <v>167720</v>
          </cell>
        </row>
        <row r="525">
          <cell r="A525" t="str">
            <v>6800</v>
          </cell>
          <cell r="B525" t="str">
            <v>6840 — Equipment Rental Fees</v>
          </cell>
          <cell r="C525">
            <v>-49750</v>
          </cell>
          <cell r="E525">
            <v>-49750</v>
          </cell>
        </row>
        <row r="526">
          <cell r="A526" t="str">
            <v>6800</v>
          </cell>
          <cell r="B526" t="str">
            <v>6841 — Supplies &amp; Furniture Rental</v>
          </cell>
          <cell r="C526">
            <v>94350</v>
          </cell>
          <cell r="E526">
            <v>94350</v>
          </cell>
        </row>
        <row r="527">
          <cell r="A527" t="str">
            <v>6800</v>
          </cell>
          <cell r="B527" t="str">
            <v>6850 — Food/Meals</v>
          </cell>
          <cell r="C527">
            <v>8966</v>
          </cell>
          <cell r="E527">
            <v>8966</v>
          </cell>
        </row>
        <row r="528">
          <cell r="A528" t="str">
            <v>6800</v>
          </cell>
          <cell r="B528" t="str">
            <v>6851 — Catering</v>
          </cell>
          <cell r="C528">
            <v>543928</v>
          </cell>
          <cell r="E528">
            <v>543928</v>
          </cell>
        </row>
        <row r="529">
          <cell r="A529" t="str">
            <v>6800</v>
          </cell>
          <cell r="B529" t="str">
            <v>6860 — Media and Technology</v>
          </cell>
          <cell r="C529">
            <v>99623</v>
          </cell>
          <cell r="E529">
            <v>99623</v>
          </cell>
        </row>
        <row r="530">
          <cell r="A530" t="str">
            <v>6800</v>
          </cell>
          <cell r="B530" t="str">
            <v>6861 — Photography</v>
          </cell>
          <cell r="C530">
            <v>51228</v>
          </cell>
          <cell r="E530">
            <v>51228</v>
          </cell>
        </row>
        <row r="531">
          <cell r="A531" t="str">
            <v>6800</v>
          </cell>
          <cell r="B531" t="str">
            <v>6865 — Supplies &amp; Materials</v>
          </cell>
          <cell r="C531">
            <v>44506</v>
          </cell>
          <cell r="E531">
            <v>44506</v>
          </cell>
        </row>
        <row r="532">
          <cell r="A532" t="str">
            <v>6800</v>
          </cell>
          <cell r="B532" t="str">
            <v>6880 — Registration Materials</v>
          </cell>
          <cell r="C532">
            <v>20573</v>
          </cell>
          <cell r="E532">
            <v>20573</v>
          </cell>
        </row>
        <row r="533">
          <cell r="A533" t="str">
            <v>6800</v>
          </cell>
          <cell r="B533" t="str">
            <v>6890 — Space Rental Fees</v>
          </cell>
          <cell r="C533">
            <v>129782</v>
          </cell>
          <cell r="E533">
            <v>129782</v>
          </cell>
        </row>
        <row r="534">
          <cell r="A534" t="str">
            <v>6800</v>
          </cell>
          <cell r="B534" t="str">
            <v>6895 — Travel and Lodging</v>
          </cell>
          <cell r="C534">
            <v>236682</v>
          </cell>
          <cell r="E534">
            <v>236682</v>
          </cell>
        </row>
        <row r="535">
          <cell r="A535" t="str">
            <v>6800</v>
          </cell>
          <cell r="B535" t="str">
            <v>6899 — Miscellaneous costs</v>
          </cell>
          <cell r="C535">
            <v>11719</v>
          </cell>
          <cell r="E535">
            <v>11719</v>
          </cell>
        </row>
        <row r="536">
          <cell r="A536" t="str">
            <v>4100</v>
          </cell>
          <cell r="B536" t="str">
            <v>4100 — Corporate</v>
          </cell>
          <cell r="C536">
            <v>-170000</v>
          </cell>
          <cell r="E536">
            <v>-170000</v>
          </cell>
        </row>
        <row r="537">
          <cell r="A537" t="str">
            <v>4200</v>
          </cell>
          <cell r="B537" t="str">
            <v>4200 — Foundation</v>
          </cell>
          <cell r="E537">
            <v>0</v>
          </cell>
        </row>
        <row r="538">
          <cell r="A538">
            <v>4400</v>
          </cell>
          <cell r="B538" t="str">
            <v>4400 — In-Kind</v>
          </cell>
          <cell r="C538">
            <v>-23159</v>
          </cell>
          <cell r="E538">
            <v>-23159</v>
          </cell>
        </row>
        <row r="539">
          <cell r="A539" t="str">
            <v>4500</v>
          </cell>
          <cell r="B539" t="str">
            <v>4500 — Individual</v>
          </cell>
          <cell r="E539">
            <v>0</v>
          </cell>
        </row>
        <row r="540">
          <cell r="A540">
            <v>4800</v>
          </cell>
          <cell r="B540" t="str">
            <v>4800 — Miscellaneous Income</v>
          </cell>
          <cell r="E540">
            <v>0</v>
          </cell>
        </row>
        <row r="541">
          <cell r="A541" t="str">
            <v>4850</v>
          </cell>
          <cell r="B541" t="str">
            <v>4850 — Membership dues</v>
          </cell>
          <cell r="E541">
            <v>0</v>
          </cell>
        </row>
        <row r="542">
          <cell r="A542">
            <v>4890</v>
          </cell>
          <cell r="B542" t="str">
            <v>4890 — Interest Income</v>
          </cell>
          <cell r="E542">
            <v>0</v>
          </cell>
        </row>
        <row r="543">
          <cell r="A543" t="str">
            <v>6000</v>
          </cell>
          <cell r="B543" t="str">
            <v>6110 — Accounting</v>
          </cell>
          <cell r="E543">
            <v>0</v>
          </cell>
        </row>
        <row r="544">
          <cell r="A544" t="str">
            <v>6000</v>
          </cell>
          <cell r="B544" t="str">
            <v>6120 — Advertising/Promotional</v>
          </cell>
          <cell r="E544">
            <v>0</v>
          </cell>
        </row>
        <row r="545">
          <cell r="A545" t="str">
            <v>6000</v>
          </cell>
          <cell r="B545" t="str">
            <v>6130 — Bank Fees</v>
          </cell>
          <cell r="E545">
            <v>0</v>
          </cell>
        </row>
        <row r="546">
          <cell r="A546">
            <v>6000</v>
          </cell>
          <cell r="B546" t="str">
            <v>6140 — Consultants</v>
          </cell>
          <cell r="E546">
            <v>0</v>
          </cell>
        </row>
        <row r="547">
          <cell r="A547" t="str">
            <v>6000</v>
          </cell>
          <cell r="B547" t="str">
            <v>6150 — Continuing Education</v>
          </cell>
          <cell r="E547">
            <v>0</v>
          </cell>
        </row>
        <row r="548">
          <cell r="A548" t="str">
            <v>6000</v>
          </cell>
          <cell r="B548" t="str">
            <v>6155 — Seminars &amp; Meetings</v>
          </cell>
          <cell r="E548">
            <v>0</v>
          </cell>
        </row>
        <row r="549">
          <cell r="A549" t="str">
            <v>6000</v>
          </cell>
          <cell r="B549" t="str">
            <v>6170 — Depreciation Expense</v>
          </cell>
          <cell r="E549">
            <v>0</v>
          </cell>
        </row>
        <row r="550">
          <cell r="A550" t="str">
            <v>6000</v>
          </cell>
          <cell r="B550" t="str">
            <v>6180 — Dues &amp; Subscriptions</v>
          </cell>
          <cell r="E550">
            <v>0</v>
          </cell>
        </row>
        <row r="551">
          <cell r="A551" t="str">
            <v>6000</v>
          </cell>
          <cell r="B551" t="str">
            <v>6190 — Insurance</v>
          </cell>
          <cell r="C551">
            <v>127</v>
          </cell>
          <cell r="E551">
            <v>127</v>
          </cell>
        </row>
        <row r="552">
          <cell r="A552" t="str">
            <v>6000</v>
          </cell>
          <cell r="B552" t="str">
            <v>6200 — Interest Expense</v>
          </cell>
          <cell r="E552">
            <v>0</v>
          </cell>
        </row>
        <row r="553">
          <cell r="A553" t="str">
            <v>6000</v>
          </cell>
          <cell r="B553" t="str">
            <v>6210 — Leasing</v>
          </cell>
          <cell r="E553">
            <v>0</v>
          </cell>
        </row>
        <row r="554">
          <cell r="A554" t="str">
            <v>6000</v>
          </cell>
          <cell r="B554" t="str">
            <v>6220 — Legal &amp; Professional Fees</v>
          </cell>
          <cell r="E554">
            <v>0</v>
          </cell>
        </row>
        <row r="555">
          <cell r="A555" t="str">
            <v>6000</v>
          </cell>
          <cell r="B555" t="str">
            <v>6230 — Meals</v>
          </cell>
          <cell r="C555">
            <v>48</v>
          </cell>
          <cell r="E555">
            <v>48</v>
          </cell>
        </row>
        <row r="556">
          <cell r="A556" t="str">
            <v>6000</v>
          </cell>
          <cell r="B556" t="str">
            <v>6240 — Printed Materials</v>
          </cell>
          <cell r="E556">
            <v>0</v>
          </cell>
        </row>
        <row r="557">
          <cell r="A557" t="str">
            <v>6000</v>
          </cell>
          <cell r="B557" t="str">
            <v>6260 — Shipping &amp; Postage</v>
          </cell>
          <cell r="C557">
            <v>815</v>
          </cell>
          <cell r="E557">
            <v>815</v>
          </cell>
        </row>
        <row r="558">
          <cell r="A558" t="str">
            <v>6000</v>
          </cell>
          <cell r="B558" t="str">
            <v>6270 — Space Rental Fees</v>
          </cell>
          <cell r="E558">
            <v>0</v>
          </cell>
        </row>
        <row r="559">
          <cell r="A559" t="str">
            <v>6000</v>
          </cell>
          <cell r="B559" t="str">
            <v>6280 — Supplies &amp; Materials</v>
          </cell>
          <cell r="C559">
            <v>-557</v>
          </cell>
          <cell r="E559">
            <v>-557</v>
          </cell>
        </row>
        <row r="560">
          <cell r="A560" t="str">
            <v>6000</v>
          </cell>
          <cell r="B560" t="str">
            <v>6290 — Technology</v>
          </cell>
          <cell r="E560">
            <v>0</v>
          </cell>
        </row>
        <row r="561">
          <cell r="A561" t="str">
            <v>6000</v>
          </cell>
          <cell r="B561" t="str">
            <v>6300 — Telephone/Internet</v>
          </cell>
          <cell r="E561">
            <v>0</v>
          </cell>
        </row>
        <row r="562">
          <cell r="A562" t="str">
            <v>6000</v>
          </cell>
          <cell r="B562" t="str">
            <v>6310 — Travel and Lodging</v>
          </cell>
          <cell r="C562">
            <v>24</v>
          </cell>
          <cell r="E562">
            <v>24</v>
          </cell>
        </row>
        <row r="563">
          <cell r="A563" t="str">
            <v>6000</v>
          </cell>
          <cell r="B563" t="str">
            <v>6320 — Utilities</v>
          </cell>
          <cell r="E563">
            <v>0</v>
          </cell>
        </row>
        <row r="564">
          <cell r="A564" t="str">
            <v>6000</v>
          </cell>
          <cell r="B564" t="str">
            <v>6330 — Website Fees</v>
          </cell>
          <cell r="E564">
            <v>0</v>
          </cell>
        </row>
        <row r="565">
          <cell r="A565" t="str">
            <v>6000</v>
          </cell>
          <cell r="B565" t="str">
            <v>6340 — Miscellaneous</v>
          </cell>
          <cell r="C565">
            <v>80</v>
          </cell>
          <cell r="E565">
            <v>80</v>
          </cell>
        </row>
        <row r="566">
          <cell r="A566">
            <v>6000</v>
          </cell>
          <cell r="B566" t="str">
            <v>6360 — Taxes and Filing Fees</v>
          </cell>
          <cell r="E566">
            <v>0</v>
          </cell>
        </row>
        <row r="567">
          <cell r="A567" t="str">
            <v>6500</v>
          </cell>
          <cell r="B567" t="str">
            <v>6500 — Internships - Other</v>
          </cell>
          <cell r="E567">
            <v>0</v>
          </cell>
        </row>
        <row r="568">
          <cell r="A568" t="str">
            <v>6500</v>
          </cell>
          <cell r="B568" t="str">
            <v>6530 — Stipend/Bonus</v>
          </cell>
          <cell r="E568">
            <v>0</v>
          </cell>
        </row>
        <row r="569">
          <cell r="A569" t="str">
            <v>6700</v>
          </cell>
          <cell r="B569" t="str">
            <v>6701 — Salary</v>
          </cell>
          <cell r="E569">
            <v>0</v>
          </cell>
        </row>
        <row r="570">
          <cell r="A570" t="str">
            <v>6700</v>
          </cell>
          <cell r="B570" t="str">
            <v>6720 — Health Insurance Premiums</v>
          </cell>
          <cell r="E570">
            <v>0</v>
          </cell>
        </row>
        <row r="571">
          <cell r="A571" t="str">
            <v>6700</v>
          </cell>
          <cell r="B571" t="str">
            <v>6730 — HSA</v>
          </cell>
          <cell r="E571">
            <v>0</v>
          </cell>
        </row>
        <row r="572">
          <cell r="A572" t="str">
            <v>6700</v>
          </cell>
          <cell r="B572" t="str">
            <v>6740 — Payroll Taxes</v>
          </cell>
          <cell r="E572">
            <v>0</v>
          </cell>
        </row>
        <row r="573">
          <cell r="A573" t="str">
            <v>6700</v>
          </cell>
          <cell r="B573" t="str">
            <v>6760 — W/C Insurance</v>
          </cell>
          <cell r="E573">
            <v>0</v>
          </cell>
        </row>
        <row r="574">
          <cell r="A574" t="str">
            <v>6700</v>
          </cell>
          <cell r="B574" t="str">
            <v>6770 — Transit Check</v>
          </cell>
          <cell r="E574">
            <v>0</v>
          </cell>
        </row>
        <row r="575">
          <cell r="A575" t="str">
            <v>6700</v>
          </cell>
          <cell r="B575" t="str">
            <v>6790 — Payroll Processing Fees</v>
          </cell>
          <cell r="E575">
            <v>0</v>
          </cell>
        </row>
        <row r="576">
          <cell r="A576">
            <v>6800</v>
          </cell>
          <cell r="B576" t="str">
            <v>6810 — Advertising/Promotional</v>
          </cell>
          <cell r="C576">
            <v>414</v>
          </cell>
          <cell r="E576">
            <v>414</v>
          </cell>
        </row>
        <row r="577">
          <cell r="A577" t="str">
            <v>6800</v>
          </cell>
          <cell r="B577" t="str">
            <v>6811 — Branding/Signage</v>
          </cell>
          <cell r="E577">
            <v>0</v>
          </cell>
        </row>
        <row r="578">
          <cell r="A578" t="str">
            <v>6800</v>
          </cell>
          <cell r="B578" t="str">
            <v>6815 — Printed Materials</v>
          </cell>
          <cell r="E578">
            <v>0</v>
          </cell>
        </row>
        <row r="579">
          <cell r="A579" t="str">
            <v>6800</v>
          </cell>
          <cell r="B579" t="str">
            <v>6820 — Audio Visual</v>
          </cell>
          <cell r="E579">
            <v>0</v>
          </cell>
        </row>
        <row r="580">
          <cell r="A580" t="str">
            <v>6800</v>
          </cell>
          <cell r="B580" t="str">
            <v>6825 — Speaker fees</v>
          </cell>
          <cell r="E580">
            <v>0</v>
          </cell>
        </row>
        <row r="581">
          <cell r="A581" t="str">
            <v>6800</v>
          </cell>
          <cell r="B581" t="str">
            <v>6829 — Event Management &amp; Logistics</v>
          </cell>
          <cell r="E581">
            <v>0</v>
          </cell>
        </row>
        <row r="582">
          <cell r="A582" t="str">
            <v>6800</v>
          </cell>
          <cell r="B582" t="str">
            <v>6830 — Consultants- Operations</v>
          </cell>
          <cell r="C582">
            <v>33</v>
          </cell>
          <cell r="E582">
            <v>33</v>
          </cell>
        </row>
        <row r="583">
          <cell r="A583" t="str">
            <v>6800</v>
          </cell>
          <cell r="B583" t="str">
            <v>6831 — Contractors- Event Logistics</v>
          </cell>
          <cell r="C583">
            <v>208836</v>
          </cell>
          <cell r="E583">
            <v>208836</v>
          </cell>
        </row>
        <row r="584">
          <cell r="A584" t="str">
            <v>6800</v>
          </cell>
          <cell r="B584" t="str">
            <v>6840 — Equipment Rental Fees</v>
          </cell>
          <cell r="C584">
            <v>3000</v>
          </cell>
          <cell r="E584">
            <v>3000</v>
          </cell>
        </row>
        <row r="585">
          <cell r="A585" t="str">
            <v>6800</v>
          </cell>
          <cell r="B585" t="str">
            <v>6841 — Supplies &amp; Furniture Rental</v>
          </cell>
          <cell r="E585">
            <v>0</v>
          </cell>
        </row>
        <row r="586">
          <cell r="A586" t="str">
            <v>6800</v>
          </cell>
          <cell r="B586" t="str">
            <v>6850 — Food/Meals</v>
          </cell>
          <cell r="C586">
            <v>5317</v>
          </cell>
          <cell r="E586">
            <v>5317</v>
          </cell>
        </row>
        <row r="587">
          <cell r="A587" t="str">
            <v>6800</v>
          </cell>
          <cell r="B587" t="str">
            <v>6851 — Catering</v>
          </cell>
          <cell r="E587">
            <v>0</v>
          </cell>
        </row>
        <row r="588">
          <cell r="A588" t="str">
            <v>6800</v>
          </cell>
          <cell r="B588" t="str">
            <v>6860 — Media and Technology</v>
          </cell>
          <cell r="C588">
            <v>1654</v>
          </cell>
          <cell r="E588">
            <v>1654</v>
          </cell>
        </row>
        <row r="589">
          <cell r="A589" t="str">
            <v>6800</v>
          </cell>
          <cell r="B589" t="str">
            <v>6861 — Photography</v>
          </cell>
          <cell r="E589">
            <v>0</v>
          </cell>
        </row>
        <row r="590">
          <cell r="A590" t="str">
            <v>6800</v>
          </cell>
          <cell r="B590" t="str">
            <v>6865 — Supplies &amp; Materials</v>
          </cell>
          <cell r="E590">
            <v>0</v>
          </cell>
        </row>
        <row r="591">
          <cell r="A591" t="str">
            <v>6800</v>
          </cell>
          <cell r="B591" t="str">
            <v>6880 — Registration Materials</v>
          </cell>
          <cell r="C591">
            <v>416</v>
          </cell>
          <cell r="E591">
            <v>416</v>
          </cell>
        </row>
        <row r="592">
          <cell r="A592" t="str">
            <v>6800</v>
          </cell>
          <cell r="B592" t="str">
            <v>6890 — Space Rental Fees</v>
          </cell>
          <cell r="C592">
            <v>20000</v>
          </cell>
          <cell r="E592">
            <v>20000</v>
          </cell>
        </row>
        <row r="593">
          <cell r="A593" t="str">
            <v>6800</v>
          </cell>
          <cell r="B593" t="str">
            <v>6895 — Travel and Lodging</v>
          </cell>
          <cell r="C593">
            <v>62323</v>
          </cell>
          <cell r="E593">
            <v>62323</v>
          </cell>
        </row>
        <row r="594">
          <cell r="A594" t="str">
            <v>6800</v>
          </cell>
          <cell r="B594" t="str">
            <v>6899 — Miscellaneous costs</v>
          </cell>
          <cell r="C594">
            <v>22</v>
          </cell>
          <cell r="E594">
            <v>22</v>
          </cell>
        </row>
        <row r="595">
          <cell r="A595" t="str">
            <v>4500</v>
          </cell>
          <cell r="B595" t="str">
            <v>4500 — Individual</v>
          </cell>
          <cell r="C595">
            <v>-5000</v>
          </cell>
          <cell r="E595">
            <v>-5000</v>
          </cell>
        </row>
        <row r="596">
          <cell r="A596" t="str">
            <v>6800</v>
          </cell>
          <cell r="B596" t="str">
            <v>6850 — Food/Meals</v>
          </cell>
          <cell r="C596">
            <v>1161</v>
          </cell>
          <cell r="E596">
            <v>1161</v>
          </cell>
        </row>
        <row r="597">
          <cell r="A597" t="str">
            <v>6800</v>
          </cell>
          <cell r="B597" t="str">
            <v>6865 — Supplies &amp; Materials</v>
          </cell>
          <cell r="C597">
            <v>17</v>
          </cell>
          <cell r="E597">
            <v>17</v>
          </cell>
        </row>
        <row r="598">
          <cell r="A598" t="str">
            <v>6800</v>
          </cell>
          <cell r="B598" t="str">
            <v>6895 — Travel and Lodging</v>
          </cell>
          <cell r="C598">
            <v>8938</v>
          </cell>
          <cell r="E598">
            <v>8938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Tickmark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Type"/>
      <sheetName val="Revenue"/>
      <sheetName val="Memo"/>
      <sheetName val="expense key"/>
      <sheetName val="class"/>
      <sheetName val="Net Assets"/>
      <sheetName val="Summary (simple)"/>
      <sheetName val="Summary"/>
      <sheetName val="Summary (no FDRL)"/>
      <sheetName val="Comparison to Original Budget"/>
      <sheetName val="Expenses"/>
      <sheetName val="Other Expenses"/>
      <sheetName val="FFC Fellows"/>
      <sheetName val="Benefits"/>
      <sheetName val="monthly revenue"/>
      <sheetName val="Changes"/>
      <sheetName val="Salary"/>
      <sheetName val="Change allocation reasoning"/>
      <sheetName val="Quick Summary"/>
      <sheetName val="Expenses (Direct- No FDRL)"/>
      <sheetName val="Changes 2"/>
      <sheetName val="Sheet1"/>
      <sheetName val="FFC budget"/>
      <sheetName val="Sheet1 (2)"/>
      <sheetName val="POST CEO APPROVAL CHANGES"/>
    </sheetNames>
    <sheetDataSet>
      <sheetData sheetId="0"/>
      <sheetData sheetId="1"/>
      <sheetData sheetId="2"/>
      <sheetData sheetId="3">
        <row r="1">
          <cell r="A1" t="str">
            <v>Advertising</v>
          </cell>
          <cell r="B1" t="str">
            <v>62000 · ADVERTISING - Other</v>
          </cell>
        </row>
        <row r="2">
          <cell r="A2" t="str">
            <v>Advertising</v>
          </cell>
          <cell r="B2" t="str">
            <v>62100 · IN-KIND ADVERTISING</v>
          </cell>
        </row>
        <row r="3">
          <cell r="A3" t="str">
            <v>Advertising</v>
          </cell>
          <cell r="B3" t="str">
            <v>62200 · MARKETING</v>
          </cell>
        </row>
        <row r="4">
          <cell r="A4" t="str">
            <v>Advertising</v>
          </cell>
          <cell r="B4" t="str">
            <v>62300 · ADVERTISING P/R EXPENSE</v>
          </cell>
        </row>
        <row r="5">
          <cell r="A5" t="str">
            <v>Consultants/Fellows</v>
          </cell>
          <cell r="B5" t="str">
            <v>63000 · PROFESSIONAL FEES - Other</v>
          </cell>
        </row>
        <row r="6">
          <cell r="A6" t="str">
            <v>Consultants/Fellows</v>
          </cell>
          <cell r="B6" t="str">
            <v>63100 · FELLOWS CONSULTANTS - Other</v>
          </cell>
        </row>
        <row r="7">
          <cell r="A7" t="str">
            <v>Consultants/Fellows</v>
          </cell>
          <cell r="B7" t="str">
            <v>63110 · CONSULTANT TRAVEL EXPENSE</v>
          </cell>
        </row>
        <row r="8">
          <cell r="A8" t="str">
            <v>Consultants/Fellows</v>
          </cell>
          <cell r="B8" t="str">
            <v>63120 · DC CONSULTANT EXPENSE</v>
          </cell>
        </row>
        <row r="9">
          <cell r="A9" t="str">
            <v>Consultants/Fellows</v>
          </cell>
          <cell r="B9" t="str">
            <v>63130 · FOUR FREEDOMS PARK CONSULTANT</v>
          </cell>
        </row>
        <row r="10">
          <cell r="A10" t="str">
            <v>Consultants/Fellows</v>
          </cell>
          <cell r="B10" t="str">
            <v>63140 · IN-KIND CONSULTANT EXPENSE</v>
          </cell>
        </row>
        <row r="11">
          <cell r="A11" t="str">
            <v>Consultants/Fellows</v>
          </cell>
          <cell r="B11" t="str">
            <v>63150 · DESIGN, CREATIVE &amp; WEBSITE</v>
          </cell>
        </row>
        <row r="12">
          <cell r="A12" t="str">
            <v>Consultants/Fellows</v>
          </cell>
          <cell r="B12" t="str">
            <v>63200 · EDITING CONSULTANT EXP</v>
          </cell>
        </row>
        <row r="13">
          <cell r="A13" t="str">
            <v>Consultants/Fellows</v>
          </cell>
          <cell r="B13" t="str">
            <v>63300 · FUNDRAISING CONSULTANT EXP</v>
          </cell>
        </row>
        <row r="14">
          <cell r="A14" t="str">
            <v>Consultants/Fellows</v>
          </cell>
          <cell r="B14" t="str">
            <v>63400 · COMPUTER CONSULTANT EXP</v>
          </cell>
        </row>
        <row r="15">
          <cell r="A15" t="str">
            <v>Consultants/Fellows</v>
          </cell>
          <cell r="B15" t="str">
            <v>63500 · PUBLIC RELATIONS CONSULTANT EXP</v>
          </cell>
        </row>
        <row r="16">
          <cell r="A16" t="str">
            <v>Consultants/Fellows</v>
          </cell>
          <cell r="B16" t="str">
            <v>63600 · CONSULTANTS - OTHER</v>
          </cell>
        </row>
        <row r="17">
          <cell r="A17" t="str">
            <v>Consultants/Fellows</v>
          </cell>
          <cell r="B17" t="str">
            <v>63700 · WEBSITE CONSULTANT EXP</v>
          </cell>
        </row>
        <row r="18">
          <cell r="A18" t="str">
            <v>Consultants/Fellows</v>
          </cell>
          <cell r="B18" t="str">
            <v>63800 · PAYROLL SERVICE EXPENSE</v>
          </cell>
        </row>
        <row r="19">
          <cell r="A19" t="str">
            <v>Consultants/Fellows</v>
          </cell>
          <cell r="B19" t="str">
            <v>63801 · TEMPORARY STAFFING EXP</v>
          </cell>
        </row>
        <row r="20">
          <cell r="A20" t="str">
            <v>Legal &amp; Audting</v>
          </cell>
          <cell r="B20" t="str">
            <v>63900 · LEGAL &amp; AUDITING</v>
          </cell>
        </row>
        <row r="21">
          <cell r="A21" t="str">
            <v>Legal &amp; Audting</v>
          </cell>
          <cell r="B21" t="str">
            <v>65000 · LEGAL SETTLEMENT EXPENSES</v>
          </cell>
        </row>
        <row r="22">
          <cell r="A22" t="str">
            <v>Design and Fabrication</v>
          </cell>
          <cell r="B22" t="str">
            <v>65510 · CONSTRUCTION</v>
          </cell>
        </row>
        <row r="23">
          <cell r="A23" t="str">
            <v>Design and Fabrication</v>
          </cell>
          <cell r="B23" t="str">
            <v>65520 · DESIGN &amp; FABRICATION EXP</v>
          </cell>
        </row>
        <row r="24">
          <cell r="A24" t="str">
            <v>Grants and Awards</v>
          </cell>
          <cell r="B24" t="str">
            <v>66100 · GRANTS</v>
          </cell>
        </row>
        <row r="25">
          <cell r="A25" t="str">
            <v>Grants and Awards</v>
          </cell>
          <cell r="B25" t="str">
            <v>66200 · AWARDS</v>
          </cell>
        </row>
        <row r="26">
          <cell r="A26" t="str">
            <v>Stipends</v>
          </cell>
          <cell r="B26" t="str">
            <v>66300 · STIPENDS</v>
          </cell>
        </row>
        <row r="27">
          <cell r="A27" t="str">
            <v>Grants and Awards</v>
          </cell>
          <cell r="B27" t="str">
            <v>66400 · GRANTS (SCHOLARS &amp; OTHERS) - Other</v>
          </cell>
        </row>
        <row r="28">
          <cell r="A28" t="str">
            <v>Grants and Awards</v>
          </cell>
          <cell r="B28" t="str">
            <v>66410 · Eichelberger/Linzer Fellowship</v>
          </cell>
        </row>
        <row r="29">
          <cell r="A29" t="str">
            <v>Grants and Awards</v>
          </cell>
          <cell r="B29" t="str">
            <v>66420 · FERI GRANT-IN-AIDE</v>
          </cell>
        </row>
        <row r="30">
          <cell r="A30" t="str">
            <v>Grants and Awards</v>
          </cell>
          <cell r="B30" t="str">
            <v>66430 · GREENFIELD / WEINBERG</v>
          </cell>
        </row>
        <row r="31">
          <cell r="A31" t="str">
            <v>Grants and Awards</v>
          </cell>
          <cell r="B31" t="str">
            <v>66440 · LUBIN / WINANT</v>
          </cell>
        </row>
        <row r="32">
          <cell r="A32" t="str">
            <v>Grants and Awards</v>
          </cell>
          <cell r="B32" t="str">
            <v>66450 · RIVKIN</v>
          </cell>
        </row>
        <row r="33">
          <cell r="A33" t="str">
            <v>Grants and Awards</v>
          </cell>
          <cell r="B33" t="str">
            <v>66460 · MLK SCHOLARSHIP</v>
          </cell>
        </row>
        <row r="34">
          <cell r="A34" t="str">
            <v>Grants and Awards</v>
          </cell>
          <cell r="B34" t="str">
            <v>66470 · SCHELSINGER FELLOWSHIP</v>
          </cell>
        </row>
        <row r="35">
          <cell r="A35" t="str">
            <v>Grants and Awards</v>
          </cell>
          <cell r="B35" t="str">
            <v>66480 · BEEKE LEVY</v>
          </cell>
        </row>
        <row r="36">
          <cell r="A36" t="str">
            <v>Publications</v>
          </cell>
          <cell r="B36" t="str">
            <v>67000 · PUBLICATION, FILM &amp; MICROFILM - Other</v>
          </cell>
        </row>
        <row r="37">
          <cell r="A37" t="str">
            <v>Publications</v>
          </cell>
          <cell r="B37" t="str">
            <v>67100 · BOOKS</v>
          </cell>
        </row>
        <row r="38">
          <cell r="A38" t="str">
            <v>Audio/Visual</v>
          </cell>
          <cell r="B38" t="str">
            <v>67200 · VIDEO / FILMS &amp; DVD'S</v>
          </cell>
        </row>
        <row r="39">
          <cell r="A39" t="str">
            <v>Audio/Visual</v>
          </cell>
          <cell r="B39" t="str">
            <v>67300 · AUDIO &amp; VISUAL</v>
          </cell>
        </row>
        <row r="40">
          <cell r="A40" t="str">
            <v>Publications</v>
          </cell>
          <cell r="B40" t="str">
            <v>67400 · PUBLICATIONS AND SUBSCRIPTIONS</v>
          </cell>
        </row>
        <row r="41">
          <cell r="A41" t="str">
            <v>Publications</v>
          </cell>
          <cell r="B41" t="str">
            <v>67500 · MEMBERSHIPS &amp; DUES</v>
          </cell>
        </row>
        <row r="42">
          <cell r="A42" t="str">
            <v>Meetings/Conferences: (In-house)</v>
          </cell>
          <cell r="B42" t="str">
            <v>68000 · MEETINGS AND CONFERENCES - Other</v>
          </cell>
        </row>
        <row r="43">
          <cell r="A43" t="str">
            <v>Travel/Meals/Lodging</v>
          </cell>
          <cell r="B43" t="str">
            <v>69000 · TRAVEL, LODGING &amp; MEALS - Other</v>
          </cell>
        </row>
        <row r="44">
          <cell r="A44" t="str">
            <v>Travel/Meals/Lodging</v>
          </cell>
          <cell r="B44" t="str">
            <v>69100 · TAXI / LOCAL TRANSPORTATION</v>
          </cell>
        </row>
        <row r="45">
          <cell r="A45" t="str">
            <v>Travel/Meals/Lodging</v>
          </cell>
          <cell r="B45" t="str">
            <v>69200 · HOTEL &amp; LODGING</v>
          </cell>
        </row>
        <row r="46">
          <cell r="A46" t="str">
            <v>Travel/Meals/Lodging</v>
          </cell>
          <cell r="B46" t="str">
            <v>69300 · MEALS &amp; ENTERTAINMENT</v>
          </cell>
        </row>
        <row r="47">
          <cell r="A47" t="str">
            <v>Travel/Meals/Lodging</v>
          </cell>
          <cell r="B47" t="str">
            <v>69400 · MILEAGE</v>
          </cell>
        </row>
        <row r="48">
          <cell r="A48" t="str">
            <v>Travel/Meals/Lodging</v>
          </cell>
          <cell r="B48" t="str">
            <v>69500 · TRAIN / AIR FARE &amp; CAR RENTAL</v>
          </cell>
        </row>
        <row r="49">
          <cell r="A49" t="str">
            <v>Travel/Meals/Lodging</v>
          </cell>
          <cell r="B49" t="str">
            <v>69900 · PHONE &amp; OTHER TRAVEL EXPENSES</v>
          </cell>
        </row>
        <row r="50">
          <cell r="A50" t="str">
            <v xml:space="preserve">Postage &amp; Shipping </v>
          </cell>
          <cell r="B50" t="str">
            <v>70000 · POSTAGE, SHIPPING &amp; SUPPLIES</v>
          </cell>
        </row>
        <row r="51">
          <cell r="A51" t="str">
            <v xml:space="preserve">Printing </v>
          </cell>
          <cell r="B51" t="str">
            <v>71000 · PRINTING</v>
          </cell>
        </row>
        <row r="52">
          <cell r="A52" t="str">
            <v>Other office expenses</v>
          </cell>
          <cell r="B52" t="str">
            <v>72100 · OFFICE SUPPLIES &amp; EXPENSE</v>
          </cell>
        </row>
        <row r="53">
          <cell r="A53" t="str">
            <v>Other office expenses</v>
          </cell>
          <cell r="B53" t="str">
            <v>72100 · OFFICE SUPPLIES &amp; EXPENSE - Other</v>
          </cell>
        </row>
        <row r="54">
          <cell r="A54" t="str">
            <v>Chapter supplies</v>
          </cell>
          <cell r="B54" t="str">
            <v>72200 · CHAPTER SUPPORT - Other</v>
          </cell>
        </row>
        <row r="55">
          <cell r="A55" t="str">
            <v>Chapter supplies</v>
          </cell>
          <cell r="B55" t="str">
            <v>72210 · CHAPTER SUPPLIES</v>
          </cell>
        </row>
        <row r="56">
          <cell r="A56" t="str">
            <v>Office Equipment/ Furniture</v>
          </cell>
          <cell r="B56" t="str">
            <v>72300 · OFFICE EQUIPMENT</v>
          </cell>
        </row>
        <row r="57">
          <cell r="A57" t="str">
            <v>Other office expenses</v>
          </cell>
          <cell r="B57" t="str">
            <v>72400 · GIFTS</v>
          </cell>
        </row>
        <row r="58">
          <cell r="A58" t="str">
            <v>Website/Internet</v>
          </cell>
          <cell r="B58" t="str">
            <v>72500 · SOFTWARE SUPPORT</v>
          </cell>
        </row>
        <row r="59">
          <cell r="A59" t="str">
            <v>Program expense</v>
          </cell>
          <cell r="B59" t="str">
            <v>72600 · PROGRAM EXPENSE</v>
          </cell>
        </row>
        <row r="60">
          <cell r="A60" t="str">
            <v>Events Cost</v>
          </cell>
          <cell r="B60" t="str">
            <v>72700 · SPECIAL EVENTS EXPENSE</v>
          </cell>
        </row>
        <row r="61">
          <cell r="A61" t="str">
            <v>Meetings/Conferences: (In-house)</v>
          </cell>
          <cell r="B61" t="str">
            <v>72800 · EXHIBITIONS</v>
          </cell>
        </row>
        <row r="62">
          <cell r="A62" t="str">
            <v>Other office expenses</v>
          </cell>
          <cell r="B62" t="str">
            <v>72900 · FEES &amp; DUES</v>
          </cell>
        </row>
        <row r="63">
          <cell r="A63" t="str">
            <v>Website/Internet</v>
          </cell>
          <cell r="B63" t="str">
            <v>73000 · INTERNET/WEB</v>
          </cell>
        </row>
        <row r="64">
          <cell r="A64" t="str">
            <v>Other office expenses</v>
          </cell>
          <cell r="B64" t="str">
            <v>73100 · BANK &amp; FINANCE CHARGES</v>
          </cell>
        </row>
        <row r="65">
          <cell r="A65" t="str">
            <v>Other office expenses</v>
          </cell>
          <cell r="B65" t="str">
            <v>73200 · ENTERTAINMENT-LOCAL</v>
          </cell>
        </row>
        <row r="66">
          <cell r="A66" t="str">
            <v>Equipment Rental</v>
          </cell>
          <cell r="B66" t="str">
            <v>73300 · EQUIPMENT RENTAL</v>
          </cell>
        </row>
        <row r="67">
          <cell r="A67" t="str">
            <v>Office Equipment/ Furniture</v>
          </cell>
          <cell r="B67" t="str">
            <v>73500 · OFFICE FURNITURE</v>
          </cell>
        </row>
        <row r="68">
          <cell r="A68" t="str">
            <v>Pledge expense</v>
          </cell>
          <cell r="B68" t="str">
            <v>73600 · BAD DEBT EXPENSE</v>
          </cell>
        </row>
        <row r="69">
          <cell r="A69" t="str">
            <v>Pledge expense</v>
          </cell>
          <cell r="B69" t="str">
            <v>73700 · UNCOLLECTED GRANT &amp; PLEDGE EXP</v>
          </cell>
        </row>
        <row r="70">
          <cell r="A70" t="str">
            <v>Other office expenses</v>
          </cell>
          <cell r="B70" t="str">
            <v>73900 · MISCELLANEOUS EXPENSE</v>
          </cell>
        </row>
        <row r="71">
          <cell r="A71" t="str">
            <v>Occupancy</v>
          </cell>
          <cell r="B71" t="str">
            <v>74100 · RENT - OFFICE SPACE - Other</v>
          </cell>
        </row>
        <row r="72">
          <cell r="A72" t="str">
            <v>Occupancy</v>
          </cell>
          <cell r="B72" t="str">
            <v>74200 · MOVING EXPENSE</v>
          </cell>
        </row>
        <row r="73">
          <cell r="A73" t="str">
            <v>Other office expenses</v>
          </cell>
          <cell r="B73" t="str">
            <v>74300 · STORAGE - Other</v>
          </cell>
        </row>
        <row r="74">
          <cell r="A74" t="str">
            <v>Insurance</v>
          </cell>
          <cell r="B74" t="str">
            <v>75000 · INSURANCE</v>
          </cell>
        </row>
        <row r="75">
          <cell r="A75" t="str">
            <v>Telephone</v>
          </cell>
          <cell r="B75" t="str">
            <v>76100 · UTILITIES</v>
          </cell>
        </row>
        <row r="76">
          <cell r="A76" t="str">
            <v>Telephone</v>
          </cell>
          <cell r="B76" t="str">
            <v>76200 · TELEPHONE &amp; TELECOMMUNICATIONS</v>
          </cell>
        </row>
        <row r="77">
          <cell r="A77" t="str">
            <v>Repairs and Maintenance</v>
          </cell>
          <cell r="B77" t="str">
            <v>77000 · REPAIRS AND MAINTENANCE</v>
          </cell>
        </row>
        <row r="78">
          <cell r="A78" t="str">
            <v>Other office expenses</v>
          </cell>
          <cell r="B78" t="str">
            <v>79000 · EXECUTIVE SEARCH - Other</v>
          </cell>
        </row>
        <row r="79">
          <cell r="A79" t="str">
            <v>Other office expenses</v>
          </cell>
          <cell r="B79" t="str">
            <v>79100 · RECRUITING FEES</v>
          </cell>
        </row>
        <row r="80">
          <cell r="A80" t="str">
            <v>Depreciation expense</v>
          </cell>
          <cell r="B80" t="str">
            <v>80000 · DEPRECIATION EXPENSE - Other</v>
          </cell>
        </row>
        <row r="81">
          <cell r="A81" t="str">
            <v>Depreciation expense</v>
          </cell>
          <cell r="B81" t="str">
            <v>81000 · DEPRECIATION IN-KIND</v>
          </cell>
        </row>
        <row r="82">
          <cell r="A82" t="str">
            <v>Depreciation expense</v>
          </cell>
          <cell r="B82" t="str">
            <v>82000 · DEPRECIATION EXP CLASS W/ ASSET</v>
          </cell>
        </row>
        <row r="83">
          <cell r="A83" t="str">
            <v>Grants and Awards</v>
          </cell>
          <cell r="B83" t="str">
            <v>84000 · GRANT EXPENSE</v>
          </cell>
        </row>
        <row r="84">
          <cell r="A84" t="str">
            <v>Other office expenses</v>
          </cell>
          <cell r="B84" t="str">
            <v>90400 · RECONCILIATION DISCREPENCIES</v>
          </cell>
        </row>
      </sheetData>
      <sheetData sheetId="4">
        <row r="1">
          <cell r="F1" t="str">
            <v>CN</v>
          </cell>
        </row>
        <row r="2">
          <cell r="F2" t="str">
            <v>FDRL</v>
          </cell>
        </row>
        <row r="3">
          <cell r="F3" t="str">
            <v>FFC</v>
          </cell>
        </row>
        <row r="4">
          <cell r="F4" t="str">
            <v>Fundraising</v>
          </cell>
        </row>
        <row r="5">
          <cell r="F5" t="str">
            <v>Grants</v>
          </cell>
        </row>
        <row r="6">
          <cell r="F6" t="str">
            <v>Indirect</v>
          </cell>
        </row>
        <row r="7">
          <cell r="F7" t="str">
            <v>Legacy</v>
          </cell>
        </row>
        <row r="8">
          <cell r="F8" t="str">
            <v>MGA</v>
          </cell>
        </row>
        <row r="9">
          <cell r="F9" t="str">
            <v>Pipeline</v>
          </cell>
        </row>
        <row r="10">
          <cell r="F10" t="str">
            <v>Special_Events</v>
          </cell>
        </row>
        <row r="11">
          <cell r="F11" t="str">
            <v>VHFund</v>
          </cell>
        </row>
        <row r="75">
          <cell r="B75" t="str">
            <v>vanden Heuvel Fund</v>
          </cell>
        </row>
        <row r="87">
          <cell r="B87" t="str">
            <v>Pipeline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2">
          <cell r="Q82" t="str">
            <v>Beir Education Center</v>
          </cell>
        </row>
        <row r="83">
          <cell r="Q83" t="str">
            <v>Chicago Academy Program</v>
          </cell>
        </row>
        <row r="84">
          <cell r="Q84" t="str">
            <v>CN - General Funds</v>
          </cell>
        </row>
        <row r="85">
          <cell r="Q85" t="str">
            <v>CN Chicago</v>
          </cell>
        </row>
        <row r="86">
          <cell r="Q86" t="str">
            <v>Communications Department</v>
          </cell>
        </row>
        <row r="87">
          <cell r="Q87" t="str">
            <v>Conferences &amp; Education - Other</v>
          </cell>
        </row>
        <row r="88">
          <cell r="Q88" t="str">
            <v>DC Academy Program</v>
          </cell>
        </row>
        <row r="89">
          <cell r="Q89" t="str">
            <v>DPSA</v>
          </cell>
        </row>
        <row r="90">
          <cell r="Q90" t="str">
            <v>FDR Library - Other</v>
          </cell>
        </row>
        <row r="91">
          <cell r="Q91" t="str">
            <v>Four Freedoms Awards (Holland)</v>
          </cell>
        </row>
        <row r="92">
          <cell r="Q92" t="str">
            <v>Fundraising</v>
          </cell>
        </row>
        <row r="93">
          <cell r="Q93" t="str">
            <v>Hyde Park Conference</v>
          </cell>
        </row>
        <row r="94">
          <cell r="Q94" t="str">
            <v>Indirect</v>
          </cell>
        </row>
        <row r="95">
          <cell r="Q95" t="str">
            <v>Lorentz Education Project</v>
          </cell>
        </row>
        <row r="96">
          <cell r="Q96" t="str">
            <v>M G &amp; A - Other</v>
          </cell>
        </row>
        <row r="97">
          <cell r="Q97" t="str">
            <v>MLK Dinner</v>
          </cell>
        </row>
        <row r="98">
          <cell r="Q98" t="str">
            <v>MLK Scholarship</v>
          </cell>
        </row>
        <row r="99">
          <cell r="Q99" t="str">
            <v>Naval History Prize</v>
          </cell>
        </row>
        <row r="100">
          <cell r="Q100" t="str">
            <v>New Permanent Exhibits</v>
          </cell>
        </row>
        <row r="101">
          <cell r="Q101" t="str">
            <v>Next American Economic Program</v>
          </cell>
        </row>
        <row r="102">
          <cell r="Q102" t="str">
            <v>NY Academy Prog</v>
          </cell>
        </row>
        <row r="103">
          <cell r="Q103" t="str">
            <v>P&amp;A - General Funds</v>
          </cell>
        </row>
        <row r="104">
          <cell r="Q104" t="str">
            <v>Pipeline</v>
          </cell>
        </row>
        <row r="105">
          <cell r="Q105" t="str">
            <v>Roosevelt Study Center</v>
          </cell>
        </row>
        <row r="106">
          <cell r="Q106" t="str">
            <v>Ross Courtyard</v>
          </cell>
        </row>
        <row r="107">
          <cell r="Q107" t="str">
            <v>Schlesinger Fellowship</v>
          </cell>
        </row>
        <row r="108">
          <cell r="Q108" t="str">
            <v>Schlesinger History Prize</v>
          </cell>
        </row>
        <row r="109">
          <cell r="Q109" t="str">
            <v>Special Exhibits Gallery</v>
          </cell>
        </row>
        <row r="110">
          <cell r="Q110" t="str">
            <v>Think 2040</v>
          </cell>
        </row>
        <row r="111">
          <cell r="Q111" t="str">
            <v>vanden Heuvel Fund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Type"/>
      <sheetName val="Revenue"/>
      <sheetName val="Memo"/>
      <sheetName val="expense key"/>
      <sheetName val="class"/>
      <sheetName val="Net Assets"/>
      <sheetName val="Summary (simple)"/>
      <sheetName val="Summary"/>
      <sheetName val="Summary (no FDRL)"/>
      <sheetName val="Comparison to Original Budget"/>
      <sheetName val="Expenses"/>
      <sheetName val="Other Expenses"/>
      <sheetName val="FFC Fellows"/>
      <sheetName val="Benefits"/>
      <sheetName val="monthly revenue"/>
      <sheetName val="Changes"/>
      <sheetName val="Salary"/>
      <sheetName val="Change allocation reasoning"/>
      <sheetName val="Quick Summary"/>
      <sheetName val="Expenses (Direct- No FDRL)"/>
      <sheetName val="Changes 2"/>
      <sheetName val="Sheet1"/>
      <sheetName val="FFC budget"/>
      <sheetName val="Sheet1 (2)"/>
      <sheetName val="POST CEO APPROVAL CHANGES"/>
    </sheetNames>
    <sheetDataSet>
      <sheetData sheetId="0"/>
      <sheetData sheetId="1"/>
      <sheetData sheetId="2"/>
      <sheetData sheetId="3">
        <row r="1">
          <cell r="A1" t="str">
            <v>Advertising</v>
          </cell>
          <cell r="B1" t="str">
            <v>62000 · ADVERTISING - Other</v>
          </cell>
        </row>
        <row r="2">
          <cell r="A2" t="str">
            <v>Advertising</v>
          </cell>
          <cell r="B2" t="str">
            <v>62100 · IN-KIND ADVERTISING</v>
          </cell>
        </row>
        <row r="3">
          <cell r="A3" t="str">
            <v>Advertising</v>
          </cell>
          <cell r="B3" t="str">
            <v>62200 · MARKETING</v>
          </cell>
        </row>
        <row r="4">
          <cell r="A4" t="str">
            <v>Advertising</v>
          </cell>
          <cell r="B4" t="str">
            <v>62300 · ADVERTISING P/R EXPENSE</v>
          </cell>
        </row>
        <row r="5">
          <cell r="A5" t="str">
            <v>Consultants/Fellows</v>
          </cell>
          <cell r="B5" t="str">
            <v>63000 · PROFESSIONAL FEES - Other</v>
          </cell>
        </row>
        <row r="6">
          <cell r="A6" t="str">
            <v>Consultants/Fellows</v>
          </cell>
          <cell r="B6" t="str">
            <v>63100 · FELLOWS CONSULTANTS - Other</v>
          </cell>
        </row>
        <row r="7">
          <cell r="A7" t="str">
            <v>Consultants/Fellows</v>
          </cell>
          <cell r="B7" t="str">
            <v>63110 · CONSULTANT TRAVEL EXPENSE</v>
          </cell>
        </row>
        <row r="8">
          <cell r="A8" t="str">
            <v>Consultants/Fellows</v>
          </cell>
          <cell r="B8" t="str">
            <v>63120 · DC CONSULTANT EXPENSE</v>
          </cell>
        </row>
        <row r="9">
          <cell r="A9" t="str">
            <v>Consultants/Fellows</v>
          </cell>
          <cell r="B9" t="str">
            <v>63130 · FOUR FREEDOMS PARK CONSULTANT</v>
          </cell>
        </row>
        <row r="10">
          <cell r="A10" t="str">
            <v>Consultants/Fellows</v>
          </cell>
          <cell r="B10" t="str">
            <v>63140 · IN-KIND CONSULTANT EXPENSE</v>
          </cell>
        </row>
        <row r="11">
          <cell r="A11" t="str">
            <v>Consultants/Fellows</v>
          </cell>
          <cell r="B11" t="str">
            <v>63150 · DESIGN, CREATIVE &amp; WEBSITE</v>
          </cell>
        </row>
        <row r="12">
          <cell r="A12" t="str">
            <v>Consultants/Fellows</v>
          </cell>
          <cell r="B12" t="str">
            <v>63200 · EDITING CONSULTANT EXP</v>
          </cell>
        </row>
        <row r="13">
          <cell r="A13" t="str">
            <v>Consultants/Fellows</v>
          </cell>
          <cell r="B13" t="str">
            <v>63300 · FUNDRAISING CONSULTANT EXP</v>
          </cell>
        </row>
        <row r="14">
          <cell r="A14" t="str">
            <v>Consultants/Fellows</v>
          </cell>
          <cell r="B14" t="str">
            <v>63400 · COMPUTER CONSULTANT EXP</v>
          </cell>
        </row>
        <row r="15">
          <cell r="A15" t="str">
            <v>Consultants/Fellows</v>
          </cell>
          <cell r="B15" t="str">
            <v>63500 · PUBLIC RELATIONS CONSULTANT EXP</v>
          </cell>
        </row>
        <row r="16">
          <cell r="A16" t="str">
            <v>Consultants/Fellows</v>
          </cell>
          <cell r="B16" t="str">
            <v>63600 · CONSULTANTS - OTHER</v>
          </cell>
        </row>
        <row r="17">
          <cell r="A17" t="str">
            <v>Consultants/Fellows</v>
          </cell>
          <cell r="B17" t="str">
            <v>63700 · WEBSITE CONSULTANT EXP</v>
          </cell>
        </row>
        <row r="18">
          <cell r="A18" t="str">
            <v>Consultants/Fellows</v>
          </cell>
          <cell r="B18" t="str">
            <v>63800 · PAYROLL SERVICE EXPENSE</v>
          </cell>
        </row>
        <row r="19">
          <cell r="A19" t="str">
            <v>Consultants/Fellows</v>
          </cell>
          <cell r="B19" t="str">
            <v>63801 · TEMPORARY STAFFING EXP</v>
          </cell>
        </row>
        <row r="20">
          <cell r="A20" t="str">
            <v>Legal &amp; Audting</v>
          </cell>
          <cell r="B20" t="str">
            <v>63900 · LEGAL &amp; AUDITING</v>
          </cell>
        </row>
        <row r="21">
          <cell r="A21" t="str">
            <v>Legal &amp; Audting</v>
          </cell>
          <cell r="B21" t="str">
            <v>65000 · LEGAL SETTLEMENT EXPENSES</v>
          </cell>
        </row>
        <row r="22">
          <cell r="A22" t="str">
            <v>Design and Fabrication</v>
          </cell>
          <cell r="B22" t="str">
            <v>65510 · CONSTRUCTION</v>
          </cell>
        </row>
        <row r="23">
          <cell r="A23" t="str">
            <v>Design and Fabrication</v>
          </cell>
          <cell r="B23" t="str">
            <v>65520 · DESIGN &amp; FABRICATION EXP</v>
          </cell>
        </row>
        <row r="24">
          <cell r="A24" t="str">
            <v>Grants and Awards</v>
          </cell>
          <cell r="B24" t="str">
            <v>66100 · GRANTS</v>
          </cell>
        </row>
        <row r="25">
          <cell r="A25" t="str">
            <v>Grants and Awards</v>
          </cell>
          <cell r="B25" t="str">
            <v>66200 · AWARDS</v>
          </cell>
        </row>
        <row r="26">
          <cell r="A26" t="str">
            <v>Stipends</v>
          </cell>
          <cell r="B26" t="str">
            <v>66300 · STIPENDS</v>
          </cell>
        </row>
        <row r="27">
          <cell r="A27" t="str">
            <v>Grants and Awards</v>
          </cell>
          <cell r="B27" t="str">
            <v>66400 · GRANTS (SCHOLARS &amp; OTHERS) - Other</v>
          </cell>
        </row>
        <row r="28">
          <cell r="A28" t="str">
            <v>Grants and Awards</v>
          </cell>
          <cell r="B28" t="str">
            <v>66410 · Eichelberger/Linzer Fellowship</v>
          </cell>
        </row>
        <row r="29">
          <cell r="A29" t="str">
            <v>Grants and Awards</v>
          </cell>
          <cell r="B29" t="str">
            <v>66420 · FERI GRANT-IN-AIDE</v>
          </cell>
        </row>
        <row r="30">
          <cell r="A30" t="str">
            <v>Grants and Awards</v>
          </cell>
          <cell r="B30" t="str">
            <v>66430 · GREENFIELD / WEINBERG</v>
          </cell>
        </row>
        <row r="31">
          <cell r="A31" t="str">
            <v>Grants and Awards</v>
          </cell>
          <cell r="B31" t="str">
            <v>66440 · LUBIN / WINANT</v>
          </cell>
        </row>
        <row r="32">
          <cell r="A32" t="str">
            <v>Grants and Awards</v>
          </cell>
          <cell r="B32" t="str">
            <v>66450 · RIVKIN</v>
          </cell>
        </row>
        <row r="33">
          <cell r="A33" t="str">
            <v>Grants and Awards</v>
          </cell>
          <cell r="B33" t="str">
            <v>66460 · MLK SCHOLARSHIP</v>
          </cell>
        </row>
        <row r="34">
          <cell r="A34" t="str">
            <v>Grants and Awards</v>
          </cell>
          <cell r="B34" t="str">
            <v>66470 · SCHELSINGER FELLOWSHIP</v>
          </cell>
        </row>
        <row r="35">
          <cell r="A35" t="str">
            <v>Grants and Awards</v>
          </cell>
          <cell r="B35" t="str">
            <v>66480 · BEEKE LEVY</v>
          </cell>
        </row>
        <row r="36">
          <cell r="A36" t="str">
            <v>Publications</v>
          </cell>
          <cell r="B36" t="str">
            <v>67000 · PUBLICATION, FILM &amp; MICROFILM - Other</v>
          </cell>
        </row>
        <row r="37">
          <cell r="A37" t="str">
            <v>Publications</v>
          </cell>
          <cell r="B37" t="str">
            <v>67100 · BOOKS</v>
          </cell>
        </row>
        <row r="38">
          <cell r="A38" t="str">
            <v>Audio/Visual</v>
          </cell>
          <cell r="B38" t="str">
            <v>67200 · VIDEO / FILMS &amp; DVD'S</v>
          </cell>
        </row>
        <row r="39">
          <cell r="A39" t="str">
            <v>Audio/Visual</v>
          </cell>
          <cell r="B39" t="str">
            <v>67300 · AUDIO &amp; VISUAL</v>
          </cell>
        </row>
        <row r="40">
          <cell r="A40" t="str">
            <v>Publications</v>
          </cell>
          <cell r="B40" t="str">
            <v>67400 · PUBLICATIONS AND SUBSCRIPTIONS</v>
          </cell>
        </row>
        <row r="41">
          <cell r="A41" t="str">
            <v>Publications</v>
          </cell>
          <cell r="B41" t="str">
            <v>67500 · MEMBERSHIPS &amp; DUES</v>
          </cell>
        </row>
        <row r="42">
          <cell r="A42" t="str">
            <v>Meetings/Conferences: (In-house)</v>
          </cell>
          <cell r="B42" t="str">
            <v>68000 · MEETINGS AND CONFERENCES - Other</v>
          </cell>
        </row>
        <row r="43">
          <cell r="A43" t="str">
            <v>Travel/Meals/Lodging</v>
          </cell>
          <cell r="B43" t="str">
            <v>69000 · TRAVEL, LODGING &amp; MEALS - Other</v>
          </cell>
        </row>
        <row r="44">
          <cell r="A44" t="str">
            <v>Travel/Meals/Lodging</v>
          </cell>
          <cell r="B44" t="str">
            <v>69100 · TAXI / LOCAL TRANSPORTATION</v>
          </cell>
        </row>
        <row r="45">
          <cell r="A45" t="str">
            <v>Travel/Meals/Lodging</v>
          </cell>
          <cell r="B45" t="str">
            <v>69200 · HOTEL &amp; LODGING</v>
          </cell>
        </row>
        <row r="46">
          <cell r="A46" t="str">
            <v>Travel/Meals/Lodging</v>
          </cell>
          <cell r="B46" t="str">
            <v>69300 · MEALS &amp; ENTERTAINMENT</v>
          </cell>
        </row>
        <row r="47">
          <cell r="A47" t="str">
            <v>Travel/Meals/Lodging</v>
          </cell>
          <cell r="B47" t="str">
            <v>69400 · MILEAGE</v>
          </cell>
        </row>
        <row r="48">
          <cell r="A48" t="str">
            <v>Travel/Meals/Lodging</v>
          </cell>
          <cell r="B48" t="str">
            <v>69500 · TRAIN / AIR FARE &amp; CAR RENTAL</v>
          </cell>
        </row>
        <row r="49">
          <cell r="A49" t="str">
            <v>Travel/Meals/Lodging</v>
          </cell>
          <cell r="B49" t="str">
            <v>69900 · PHONE &amp; OTHER TRAVEL EXPENSES</v>
          </cell>
        </row>
        <row r="50">
          <cell r="A50" t="str">
            <v xml:space="preserve">Postage &amp; Shipping </v>
          </cell>
          <cell r="B50" t="str">
            <v>70000 · POSTAGE, SHIPPING &amp; SUPPLIES</v>
          </cell>
        </row>
        <row r="51">
          <cell r="A51" t="str">
            <v xml:space="preserve">Printing </v>
          </cell>
          <cell r="B51" t="str">
            <v>71000 · PRINTING</v>
          </cell>
        </row>
        <row r="52">
          <cell r="A52" t="str">
            <v>Other office expenses</v>
          </cell>
          <cell r="B52" t="str">
            <v>72100 · OFFICE SUPPLIES &amp; EXPENSE</v>
          </cell>
        </row>
        <row r="53">
          <cell r="A53" t="str">
            <v>Other office expenses</v>
          </cell>
          <cell r="B53" t="str">
            <v>72100 · OFFICE SUPPLIES &amp; EXPENSE - Other</v>
          </cell>
        </row>
        <row r="54">
          <cell r="A54" t="str">
            <v>Chapter supplies</v>
          </cell>
          <cell r="B54" t="str">
            <v>72200 · CHAPTER SUPPORT - Other</v>
          </cell>
        </row>
        <row r="55">
          <cell r="A55" t="str">
            <v>Chapter supplies</v>
          </cell>
          <cell r="B55" t="str">
            <v>72210 · CHAPTER SUPPLIES</v>
          </cell>
        </row>
        <row r="56">
          <cell r="A56" t="str">
            <v>Office Equipment/ Furniture</v>
          </cell>
          <cell r="B56" t="str">
            <v>72300 · OFFICE EQUIPMENT</v>
          </cell>
        </row>
        <row r="57">
          <cell r="A57" t="str">
            <v>Other office expenses</v>
          </cell>
          <cell r="B57" t="str">
            <v>72400 · GIFTS</v>
          </cell>
        </row>
        <row r="58">
          <cell r="A58" t="str">
            <v>Website/Internet</v>
          </cell>
          <cell r="B58" t="str">
            <v>72500 · SOFTWARE SUPPORT</v>
          </cell>
        </row>
        <row r="59">
          <cell r="A59" t="str">
            <v>Program expense</v>
          </cell>
          <cell r="B59" t="str">
            <v>72600 · PROGRAM EXPENSE</v>
          </cell>
        </row>
        <row r="60">
          <cell r="A60" t="str">
            <v>Events Cost</v>
          </cell>
          <cell r="B60" t="str">
            <v>72700 · SPECIAL EVENTS EXPENSE</v>
          </cell>
        </row>
        <row r="61">
          <cell r="A61" t="str">
            <v>Meetings/Conferences: (In-house)</v>
          </cell>
          <cell r="B61" t="str">
            <v>72800 · EXHIBITIONS</v>
          </cell>
        </row>
        <row r="62">
          <cell r="A62" t="str">
            <v>Other office expenses</v>
          </cell>
          <cell r="B62" t="str">
            <v>72900 · FEES &amp; DUES</v>
          </cell>
        </row>
        <row r="63">
          <cell r="A63" t="str">
            <v>Website/Internet</v>
          </cell>
          <cell r="B63" t="str">
            <v>73000 · INTERNET/WEB</v>
          </cell>
        </row>
        <row r="64">
          <cell r="A64" t="str">
            <v>Other office expenses</v>
          </cell>
          <cell r="B64" t="str">
            <v>73100 · BANK &amp; FINANCE CHARGES</v>
          </cell>
        </row>
        <row r="65">
          <cell r="A65" t="str">
            <v>Other office expenses</v>
          </cell>
          <cell r="B65" t="str">
            <v>73200 · ENTERTAINMENT-LOCAL</v>
          </cell>
        </row>
        <row r="66">
          <cell r="A66" t="str">
            <v>Equipment Rental</v>
          </cell>
          <cell r="B66" t="str">
            <v>73300 · EQUIPMENT RENTAL</v>
          </cell>
        </row>
        <row r="67">
          <cell r="A67" t="str">
            <v>Office Equipment/ Furniture</v>
          </cell>
          <cell r="B67" t="str">
            <v>73500 · OFFICE FURNITURE</v>
          </cell>
        </row>
        <row r="68">
          <cell r="A68" t="str">
            <v>Pledge expense</v>
          </cell>
          <cell r="B68" t="str">
            <v>73600 · BAD DEBT EXPENSE</v>
          </cell>
        </row>
        <row r="69">
          <cell r="A69" t="str">
            <v>Pledge expense</v>
          </cell>
          <cell r="B69" t="str">
            <v>73700 · UNCOLLECTED GRANT &amp; PLEDGE EXP</v>
          </cell>
        </row>
        <row r="70">
          <cell r="A70" t="str">
            <v>Other office expenses</v>
          </cell>
          <cell r="B70" t="str">
            <v>73900 · MISCELLANEOUS EXPENSE</v>
          </cell>
        </row>
        <row r="71">
          <cell r="A71" t="str">
            <v>Occupancy</v>
          </cell>
          <cell r="B71" t="str">
            <v>74100 · RENT - OFFICE SPACE - Other</v>
          </cell>
        </row>
        <row r="72">
          <cell r="A72" t="str">
            <v>Occupancy</v>
          </cell>
          <cell r="B72" t="str">
            <v>74200 · MOVING EXPENSE</v>
          </cell>
        </row>
        <row r="73">
          <cell r="A73" t="str">
            <v>Other office expenses</v>
          </cell>
          <cell r="B73" t="str">
            <v>74300 · STORAGE - Other</v>
          </cell>
        </row>
        <row r="74">
          <cell r="A74" t="str">
            <v>Insurance</v>
          </cell>
          <cell r="B74" t="str">
            <v>75000 · INSURANCE</v>
          </cell>
        </row>
        <row r="75">
          <cell r="A75" t="str">
            <v>Telephone</v>
          </cell>
          <cell r="B75" t="str">
            <v>76100 · UTILITIES</v>
          </cell>
        </row>
        <row r="76">
          <cell r="A76" t="str">
            <v>Telephone</v>
          </cell>
          <cell r="B76" t="str">
            <v>76200 · TELEPHONE &amp; TELECOMMUNICATIONS</v>
          </cell>
        </row>
        <row r="77">
          <cell r="A77" t="str">
            <v>Repairs and Maintenance</v>
          </cell>
          <cell r="B77" t="str">
            <v>77000 · REPAIRS AND MAINTENANCE</v>
          </cell>
        </row>
        <row r="78">
          <cell r="A78" t="str">
            <v>Other office expenses</v>
          </cell>
          <cell r="B78" t="str">
            <v>79000 · EXECUTIVE SEARCH - Other</v>
          </cell>
        </row>
        <row r="79">
          <cell r="A79" t="str">
            <v>Other office expenses</v>
          </cell>
          <cell r="B79" t="str">
            <v>79100 · RECRUITING FEES</v>
          </cell>
        </row>
        <row r="80">
          <cell r="A80" t="str">
            <v>Depreciation expense</v>
          </cell>
          <cell r="B80" t="str">
            <v>80000 · DEPRECIATION EXPENSE - Other</v>
          </cell>
        </row>
        <row r="81">
          <cell r="A81" t="str">
            <v>Depreciation expense</v>
          </cell>
          <cell r="B81" t="str">
            <v>81000 · DEPRECIATION IN-KIND</v>
          </cell>
        </row>
        <row r="82">
          <cell r="A82" t="str">
            <v>Depreciation expense</v>
          </cell>
          <cell r="B82" t="str">
            <v>82000 · DEPRECIATION EXP CLASS W/ ASSET</v>
          </cell>
        </row>
        <row r="83">
          <cell r="A83" t="str">
            <v>Grants and Awards</v>
          </cell>
          <cell r="B83" t="str">
            <v>84000 · GRANT EXPENSE</v>
          </cell>
        </row>
        <row r="84">
          <cell r="A84" t="str">
            <v>Other office expenses</v>
          </cell>
          <cell r="B84" t="str">
            <v>90400 · RECONCILIATION DISCREPENCIES</v>
          </cell>
        </row>
      </sheetData>
      <sheetData sheetId="4">
        <row r="1">
          <cell r="F1" t="str">
            <v>CN</v>
          </cell>
        </row>
        <row r="75">
          <cell r="B75" t="str">
            <v>vanden Heuvel Fund</v>
          </cell>
        </row>
        <row r="87">
          <cell r="B87" t="str">
            <v>Pipeline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2">
          <cell r="Q82" t="str">
            <v>Beir Education Center</v>
          </cell>
        </row>
        <row r="83">
          <cell r="Q83" t="str">
            <v>Chicago Academy Program</v>
          </cell>
        </row>
        <row r="84">
          <cell r="Q84" t="str">
            <v>CN - General Funds</v>
          </cell>
        </row>
        <row r="85">
          <cell r="Q85" t="str">
            <v>CN Chicago</v>
          </cell>
        </row>
        <row r="86">
          <cell r="Q86" t="str">
            <v>Communications Department</v>
          </cell>
        </row>
        <row r="87">
          <cell r="Q87" t="str">
            <v>Conferences &amp; Education - Other</v>
          </cell>
        </row>
        <row r="88">
          <cell r="Q88" t="str">
            <v>DC Academy Program</v>
          </cell>
        </row>
        <row r="89">
          <cell r="Q89" t="str">
            <v>DPSA</v>
          </cell>
        </row>
        <row r="90">
          <cell r="Q90" t="str">
            <v>FDR Library - Other</v>
          </cell>
        </row>
        <row r="91">
          <cell r="Q91" t="str">
            <v>Four Freedoms Awards (Holland)</v>
          </cell>
        </row>
        <row r="92">
          <cell r="Q92" t="str">
            <v>Fundraising</v>
          </cell>
        </row>
        <row r="93">
          <cell r="Q93" t="str">
            <v>Hyde Park Conference</v>
          </cell>
        </row>
        <row r="94">
          <cell r="Q94" t="str">
            <v>Indirect</v>
          </cell>
        </row>
        <row r="95">
          <cell r="Q95" t="str">
            <v>Lorentz Education Project</v>
          </cell>
        </row>
        <row r="96">
          <cell r="Q96" t="str">
            <v>M G &amp; A - Other</v>
          </cell>
        </row>
        <row r="97">
          <cell r="Q97" t="str">
            <v>MLK Dinner</v>
          </cell>
        </row>
        <row r="98">
          <cell r="Q98" t="str">
            <v>MLK Scholarship</v>
          </cell>
        </row>
        <row r="99">
          <cell r="Q99" t="str">
            <v>Naval History Prize</v>
          </cell>
        </row>
        <row r="100">
          <cell r="Q100" t="str">
            <v>New Permanent Exhibits</v>
          </cell>
        </row>
        <row r="101">
          <cell r="Q101" t="str">
            <v>Next American Economic Program</v>
          </cell>
        </row>
        <row r="102">
          <cell r="Q102" t="str">
            <v>NY Academy Prog</v>
          </cell>
        </row>
        <row r="103">
          <cell r="Q103" t="str">
            <v>P&amp;A - General Funds</v>
          </cell>
        </row>
        <row r="104">
          <cell r="Q104" t="str">
            <v>Pipeline</v>
          </cell>
        </row>
        <row r="105">
          <cell r="Q105" t="str">
            <v>Roosevelt Study Center</v>
          </cell>
        </row>
        <row r="106">
          <cell r="Q106" t="str">
            <v>Ross Courtyard</v>
          </cell>
        </row>
        <row r="107">
          <cell r="Q107" t="str">
            <v>Schlesinger Fellowship</v>
          </cell>
        </row>
        <row r="108">
          <cell r="Q108" t="str">
            <v>Schlesinger History Prize</v>
          </cell>
        </row>
        <row r="109">
          <cell r="Q109" t="str">
            <v>Special Exhibits Gallery</v>
          </cell>
        </row>
        <row r="110">
          <cell r="Q110" t="str">
            <v>Think 2040</v>
          </cell>
        </row>
        <row r="111">
          <cell r="Q111" t="str">
            <v>vanden Heuvel Fund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3"/>
  <sheetViews>
    <sheetView workbookViewId="0">
      <selection activeCell="B4" sqref="B4"/>
    </sheetView>
  </sheetViews>
  <sheetFormatPr defaultRowHeight="14.25"/>
  <cols>
    <col min="1" max="1" width="21.265625" bestFit="1" customWidth="1"/>
    <col min="2" max="4" width="11.1328125" customWidth="1"/>
    <col min="5" max="5" width="21.1328125" customWidth="1"/>
    <col min="6" max="8" width="19.3984375" customWidth="1"/>
    <col min="10" max="10" width="10.86328125" bestFit="1" customWidth="1"/>
  </cols>
  <sheetData>
    <row r="1" spans="1:11">
      <c r="A1" t="s">
        <v>153</v>
      </c>
      <c r="B1" s="209" t="s">
        <v>0</v>
      </c>
      <c r="C1" s="209"/>
      <c r="D1" s="209"/>
      <c r="J1" s="78" t="s">
        <v>154</v>
      </c>
      <c r="K1" s="78" t="s">
        <v>155</v>
      </c>
    </row>
    <row r="2" spans="1:11">
      <c r="I2" t="s">
        <v>230</v>
      </c>
      <c r="J2" t="s">
        <v>156</v>
      </c>
      <c r="K2">
        <v>31</v>
      </c>
    </row>
    <row r="3" spans="1:11">
      <c r="B3" s="78" t="s">
        <v>154</v>
      </c>
      <c r="C3" s="78" t="s">
        <v>155</v>
      </c>
      <c r="D3" s="78" t="s">
        <v>157</v>
      </c>
      <c r="I3" t="s">
        <v>231</v>
      </c>
      <c r="J3" t="s">
        <v>158</v>
      </c>
      <c r="K3">
        <v>28</v>
      </c>
    </row>
    <row r="4" spans="1:11">
      <c r="A4" t="s">
        <v>159</v>
      </c>
      <c r="B4" s="79" t="s">
        <v>169</v>
      </c>
      <c r="C4">
        <f>INDEX($K$2:$K$13,MATCH(B4,J2:J13,0))</f>
        <v>31</v>
      </c>
      <c r="D4" s="79">
        <v>2018</v>
      </c>
      <c r="E4" t="str">
        <f>B4&amp;" "&amp;C4&amp;", "&amp;D4</f>
        <v>December 31, 2018</v>
      </c>
      <c r="F4" t="str">
        <f>INDEX(I:I,MATCH(B4,J:J,0))</f>
        <v>12 months</v>
      </c>
      <c r="G4" t="str">
        <f>TEXT(E4,"MMM-YY")</f>
        <v>Dec-18</v>
      </c>
      <c r="I4" t="s">
        <v>232</v>
      </c>
      <c r="J4" t="s">
        <v>161</v>
      </c>
      <c r="K4">
        <v>31</v>
      </c>
    </row>
    <row r="5" spans="1:11">
      <c r="I5" t="s">
        <v>233</v>
      </c>
      <c r="J5" t="s">
        <v>162</v>
      </c>
      <c r="K5">
        <v>30</v>
      </c>
    </row>
    <row r="6" spans="1:11">
      <c r="A6" t="s">
        <v>163</v>
      </c>
      <c r="B6" t="str">
        <f>B4</f>
        <v>December</v>
      </c>
      <c r="C6">
        <f>C4</f>
        <v>31</v>
      </c>
      <c r="D6">
        <f>D4-1</f>
        <v>2017</v>
      </c>
      <c r="E6" t="str">
        <f>B6&amp;" "&amp;C6&amp;", "&amp;D6</f>
        <v>December 31, 2017</v>
      </c>
      <c r="G6" t="str">
        <f>TEXT(E6,"MMM-YY")</f>
        <v>Dec-17</v>
      </c>
      <c r="I6" t="s">
        <v>234</v>
      </c>
      <c r="J6" t="s">
        <v>151</v>
      </c>
      <c r="K6">
        <v>31</v>
      </c>
    </row>
    <row r="7" spans="1:11">
      <c r="I7" t="s">
        <v>235</v>
      </c>
      <c r="J7" t="s">
        <v>160</v>
      </c>
      <c r="K7">
        <v>30</v>
      </c>
    </row>
    <row r="8" spans="1:11">
      <c r="A8" t="s">
        <v>263</v>
      </c>
      <c r="B8" t="str">
        <f>J13</f>
        <v>December</v>
      </c>
      <c r="C8">
        <f>INDEX($K$2:$K$13,MATCH(B8,$J$2:$J$13,0))</f>
        <v>31</v>
      </c>
      <c r="D8">
        <f>D4</f>
        <v>2018</v>
      </c>
      <c r="E8" t="str">
        <f>B8&amp;" "&amp;C8&amp;", "&amp;D8</f>
        <v>December 31, 2018</v>
      </c>
      <c r="G8" t="str">
        <f>TEXT(E8,"MMM-YY")</f>
        <v>Dec-18</v>
      </c>
      <c r="I8" t="s">
        <v>236</v>
      </c>
      <c r="J8" t="s">
        <v>164</v>
      </c>
      <c r="K8">
        <v>31</v>
      </c>
    </row>
    <row r="9" spans="1:11">
      <c r="I9" t="s">
        <v>237</v>
      </c>
      <c r="J9" t="s">
        <v>165</v>
      </c>
      <c r="K9">
        <v>31</v>
      </c>
    </row>
    <row r="10" spans="1:11">
      <c r="A10" t="s">
        <v>264</v>
      </c>
      <c r="B10" t="str">
        <f>B8</f>
        <v>December</v>
      </c>
      <c r="C10">
        <f>C8</f>
        <v>31</v>
      </c>
      <c r="D10">
        <f>D6</f>
        <v>2017</v>
      </c>
      <c r="E10" t="str">
        <f>B10&amp;" "&amp;C10&amp;", "&amp;D10</f>
        <v>December 31, 2017</v>
      </c>
      <c r="G10" t="str">
        <f>TEXT(E10,"MMM-YY")</f>
        <v>Dec-17</v>
      </c>
      <c r="I10" t="s">
        <v>238</v>
      </c>
      <c r="J10" t="s">
        <v>166</v>
      </c>
      <c r="K10">
        <v>30</v>
      </c>
    </row>
    <row r="11" spans="1:11">
      <c r="I11" t="s">
        <v>239</v>
      </c>
      <c r="J11" t="s">
        <v>167</v>
      </c>
      <c r="K11">
        <v>31</v>
      </c>
    </row>
    <row r="12" spans="1:11">
      <c r="I12" t="s">
        <v>240</v>
      </c>
      <c r="J12" t="s">
        <v>168</v>
      </c>
      <c r="K12">
        <v>30</v>
      </c>
    </row>
    <row r="13" spans="1:11">
      <c r="I13" t="s">
        <v>241</v>
      </c>
      <c r="J13" t="s">
        <v>169</v>
      </c>
      <c r="K13">
        <v>31</v>
      </c>
    </row>
  </sheetData>
  <mergeCells count="1">
    <mergeCell ref="B1:D1"/>
  </mergeCells>
  <dataValidations count="1">
    <dataValidation type="list" allowBlank="1" showInputMessage="1" showErrorMessage="1" sqref="B4" xr:uid="{00000000-0002-0000-0000-000000000000}">
      <formula1>$J$2:$J$13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U115"/>
  <sheetViews>
    <sheetView workbookViewId="0">
      <pane xSplit="9" ySplit="3" topLeftCell="J4" activePane="bottomRight" state="frozen"/>
      <selection activeCell="I3" sqref="I3:J52"/>
      <selection pane="topRight" activeCell="I3" sqref="I3:J52"/>
      <selection pane="bottomLeft" activeCell="I3" sqref="I3:J52"/>
      <selection pane="bottomRight" activeCell="I3" sqref="I3:J52"/>
    </sheetView>
  </sheetViews>
  <sheetFormatPr defaultColWidth="9.1328125" defaultRowHeight="13.15"/>
  <cols>
    <col min="1" max="1" width="9.1328125" style="81"/>
    <col min="2" max="2" width="45.3984375" style="81" customWidth="1"/>
    <col min="3" max="8" width="3" style="26" customWidth="1"/>
    <col min="9" max="9" width="39.1328125" style="26" customWidth="1"/>
    <col min="10" max="10" width="12.73046875" style="27" customWidth="1"/>
    <col min="11" max="11" width="13" style="24" customWidth="1"/>
    <col min="12" max="13" width="14.73046875" style="24" customWidth="1"/>
    <col min="14" max="14" width="15.1328125" style="24" customWidth="1"/>
    <col min="15" max="15" width="13.1328125" style="24" customWidth="1"/>
    <col min="16" max="16" width="13" style="24" customWidth="1"/>
    <col min="17" max="16384" width="9.1328125" style="24"/>
  </cols>
  <sheetData>
    <row r="1" spans="1:21" s="80" customFormat="1" ht="14.25" customHeight="1">
      <c r="A1" s="80">
        <v>1</v>
      </c>
      <c r="B1" s="80">
        <f>A1+1</f>
        <v>2</v>
      </c>
      <c r="C1" s="80">
        <f t="shared" ref="C1:U1" si="0">B1+1</f>
        <v>3</v>
      </c>
      <c r="D1" s="80">
        <f t="shared" si="0"/>
        <v>4</v>
      </c>
      <c r="E1" s="80">
        <f t="shared" si="0"/>
        <v>5</v>
      </c>
      <c r="F1" s="80">
        <f t="shared" si="0"/>
        <v>6</v>
      </c>
      <c r="G1" s="80">
        <f t="shared" si="0"/>
        <v>7</v>
      </c>
      <c r="H1" s="80">
        <f t="shared" si="0"/>
        <v>8</v>
      </c>
      <c r="I1" s="80">
        <f t="shared" si="0"/>
        <v>9</v>
      </c>
      <c r="J1" s="80">
        <f t="shared" si="0"/>
        <v>10</v>
      </c>
      <c r="K1" s="80">
        <f t="shared" si="0"/>
        <v>11</v>
      </c>
      <c r="L1" s="80">
        <f t="shared" si="0"/>
        <v>12</v>
      </c>
      <c r="M1" s="80">
        <f t="shared" si="0"/>
        <v>13</v>
      </c>
      <c r="N1" s="80">
        <f t="shared" si="0"/>
        <v>14</v>
      </c>
      <c r="O1" s="80">
        <f t="shared" si="0"/>
        <v>15</v>
      </c>
      <c r="P1" s="80">
        <f t="shared" si="0"/>
        <v>16</v>
      </c>
      <c r="Q1" s="80">
        <f t="shared" si="0"/>
        <v>17</v>
      </c>
      <c r="R1" s="80">
        <f t="shared" si="0"/>
        <v>18</v>
      </c>
      <c r="S1" s="80">
        <f t="shared" si="0"/>
        <v>19</v>
      </c>
      <c r="T1" s="80">
        <f t="shared" si="0"/>
        <v>20</v>
      </c>
      <c r="U1" s="80">
        <f t="shared" si="0"/>
        <v>21</v>
      </c>
    </row>
    <row r="2" spans="1:21" s="81" customFormat="1">
      <c r="A2" s="80">
        <f>A1+1</f>
        <v>2</v>
      </c>
      <c r="C2" s="83"/>
      <c r="D2" s="83"/>
      <c r="E2" s="83"/>
      <c r="F2" s="83"/>
      <c r="G2" s="83"/>
      <c r="H2" s="83"/>
      <c r="I2" s="83"/>
      <c r="J2" s="84">
        <v>2012</v>
      </c>
      <c r="K2" s="81">
        <f>J2+1</f>
        <v>2013</v>
      </c>
      <c r="L2" s="81">
        <f>K2+1</f>
        <v>2014</v>
      </c>
      <c r="M2" s="81">
        <f>L2+1</f>
        <v>2015</v>
      </c>
      <c r="N2" s="81">
        <f>M2+1</f>
        <v>2016</v>
      </c>
      <c r="O2" s="81">
        <f t="shared" ref="O2:T2" si="1">N2+1</f>
        <v>2017</v>
      </c>
      <c r="P2" s="81">
        <f t="shared" si="1"/>
        <v>2018</v>
      </c>
      <c r="Q2" s="81">
        <f t="shared" si="1"/>
        <v>2019</v>
      </c>
      <c r="R2" s="81">
        <f t="shared" si="1"/>
        <v>2020</v>
      </c>
      <c r="S2" s="81">
        <f t="shared" si="1"/>
        <v>2021</v>
      </c>
      <c r="T2" s="81">
        <f t="shared" si="1"/>
        <v>2022</v>
      </c>
    </row>
    <row r="3" spans="1:21" s="23" customFormat="1" ht="14.25">
      <c r="A3" s="80">
        <f t="shared" ref="A3:A60" si="2">A2+1</f>
        <v>3</v>
      </c>
      <c r="B3" s="80" t="s">
        <v>103</v>
      </c>
      <c r="C3" s="44"/>
      <c r="D3" s="44"/>
      <c r="E3" s="44"/>
      <c r="F3" s="44"/>
      <c r="G3" s="44"/>
      <c r="H3" s="44"/>
      <c r="I3" s="64"/>
      <c r="J3" s="204" t="s">
        <v>224</v>
      </c>
      <c r="K3" s="204" t="s">
        <v>170</v>
      </c>
      <c r="L3" s="204" t="s">
        <v>177</v>
      </c>
      <c r="M3" s="204" t="s">
        <v>178</v>
      </c>
      <c r="N3" s="204" t="s">
        <v>205</v>
      </c>
      <c r="O3" s="204" t="s">
        <v>259</v>
      </c>
      <c r="P3" s="204" t="s">
        <v>349</v>
      </c>
    </row>
    <row r="4" spans="1:21">
      <c r="A4" s="80">
        <f t="shared" si="2"/>
        <v>4</v>
      </c>
      <c r="B4" s="82" t="str">
        <f>C4&amp;D4&amp;E4&amp;F4&amp;G4&amp;H4&amp;I4</f>
        <v>ASSETS</v>
      </c>
      <c r="C4" s="46"/>
      <c r="D4" s="46"/>
      <c r="E4" s="46"/>
      <c r="F4" s="46"/>
      <c r="G4" s="46"/>
      <c r="H4" s="46"/>
      <c r="I4" s="205" t="s">
        <v>2</v>
      </c>
      <c r="J4" s="206"/>
      <c r="K4" s="206"/>
      <c r="L4" s="206"/>
      <c r="M4" s="206"/>
      <c r="N4" s="206"/>
      <c r="O4" s="206"/>
      <c r="P4" s="206"/>
    </row>
    <row r="5" spans="1:21">
      <c r="A5" s="80">
        <f t="shared" si="2"/>
        <v>5</v>
      </c>
      <c r="B5" s="82" t="str">
        <f t="shared" ref="B5:B62" si="3">C5&amp;D5&amp;E5&amp;F5&amp;G5&amp;H5&amp;I5</f>
        <v xml:space="preserve">   Current Assets</v>
      </c>
      <c r="C5" s="46"/>
      <c r="D5" s="46"/>
      <c r="E5" s="46"/>
      <c r="F5" s="46"/>
      <c r="G5" s="46"/>
      <c r="H5" s="46"/>
      <c r="I5" s="205" t="s">
        <v>104</v>
      </c>
      <c r="J5" s="206"/>
      <c r="K5" s="206"/>
      <c r="L5" s="206"/>
      <c r="M5" s="206"/>
      <c r="N5" s="206"/>
      <c r="O5" s="206"/>
      <c r="P5" s="206"/>
    </row>
    <row r="6" spans="1:21">
      <c r="A6" s="80">
        <f t="shared" si="2"/>
        <v>6</v>
      </c>
      <c r="B6" s="82" t="str">
        <f t="shared" si="3"/>
        <v xml:space="preserve">      Bank Accounts</v>
      </c>
      <c r="C6" s="46"/>
      <c r="D6" s="46"/>
      <c r="E6" s="46"/>
      <c r="F6" s="46"/>
      <c r="G6" s="46"/>
      <c r="H6" s="46"/>
      <c r="I6" s="205" t="s">
        <v>105</v>
      </c>
      <c r="J6" s="206"/>
      <c r="K6" s="206"/>
      <c r="L6" s="206"/>
      <c r="M6" s="206"/>
      <c r="N6" s="206"/>
      <c r="O6" s="206"/>
      <c r="P6" s="206"/>
    </row>
    <row r="7" spans="1:21">
      <c r="A7" s="80">
        <f t="shared" si="2"/>
        <v>7</v>
      </c>
      <c r="B7" s="82" t="str">
        <f t="shared" si="3"/>
        <v xml:space="preserve">         1010 Operating Checking</v>
      </c>
      <c r="C7" s="46"/>
      <c r="D7" s="46"/>
      <c r="E7" s="46"/>
      <c r="F7" s="46"/>
      <c r="G7" s="46"/>
      <c r="H7" s="46"/>
      <c r="I7" s="205" t="s">
        <v>106</v>
      </c>
      <c r="J7" s="207">
        <f>90334.18</f>
        <v>90334.18</v>
      </c>
      <c r="K7" s="207">
        <f>171840.49</f>
        <v>171840.49</v>
      </c>
      <c r="L7" s="207">
        <f>216688.4</f>
        <v>216688.4</v>
      </c>
      <c r="M7" s="207">
        <f>426161.85</f>
        <v>426161.85</v>
      </c>
      <c r="N7" s="207">
        <f>194678.5</f>
        <v>194678.5</v>
      </c>
      <c r="O7" s="207">
        <f>12321.73</f>
        <v>12321.73</v>
      </c>
      <c r="P7" s="207">
        <f>71123.6</f>
        <v>71123.600000000006</v>
      </c>
    </row>
    <row r="8" spans="1:21">
      <c r="A8" s="80">
        <f t="shared" si="2"/>
        <v>8</v>
      </c>
      <c r="B8" s="82" t="str">
        <f t="shared" si="3"/>
        <v xml:space="preserve">         1020 Investment</v>
      </c>
      <c r="C8" s="46"/>
      <c r="D8" s="46"/>
      <c r="E8" s="46"/>
      <c r="F8" s="46"/>
      <c r="G8" s="46"/>
      <c r="H8" s="46"/>
      <c r="I8" s="205" t="s">
        <v>107</v>
      </c>
      <c r="J8" s="207">
        <f>5</f>
        <v>5</v>
      </c>
      <c r="K8" s="207">
        <f>0</f>
        <v>0</v>
      </c>
      <c r="L8" s="207">
        <f>K8</f>
        <v>0</v>
      </c>
      <c r="M8" s="207">
        <f>L8</f>
        <v>0</v>
      </c>
      <c r="N8" s="207">
        <f>0</f>
        <v>0</v>
      </c>
      <c r="O8" s="207">
        <f>0</f>
        <v>0</v>
      </c>
      <c r="P8" s="207">
        <f>O8</f>
        <v>0</v>
      </c>
    </row>
    <row r="9" spans="1:21">
      <c r="A9" s="80">
        <f t="shared" si="2"/>
        <v>9</v>
      </c>
      <c r="B9" s="82" t="str">
        <f t="shared" si="3"/>
        <v xml:space="preserve">         1030 Paypal</v>
      </c>
      <c r="C9" s="46"/>
      <c r="D9" s="46"/>
      <c r="E9" s="46"/>
      <c r="F9" s="46"/>
      <c r="G9" s="46"/>
      <c r="H9" s="46"/>
      <c r="I9" s="205" t="s">
        <v>108</v>
      </c>
      <c r="J9" s="207">
        <f>2993.86</f>
        <v>2993.86</v>
      </c>
      <c r="K9" s="207">
        <f>2012.57</f>
        <v>2012.57</v>
      </c>
      <c r="L9" s="207">
        <f>462.75</f>
        <v>462.75</v>
      </c>
      <c r="M9" s="207">
        <f>2190.88</f>
        <v>2190.88</v>
      </c>
      <c r="N9" s="207">
        <f>0</f>
        <v>0</v>
      </c>
      <c r="O9" s="207">
        <f>0</f>
        <v>0</v>
      </c>
      <c r="P9" s="207">
        <f>47.7</f>
        <v>47.7</v>
      </c>
    </row>
    <row r="10" spans="1:21">
      <c r="A10" s="80">
        <f t="shared" si="2"/>
        <v>10</v>
      </c>
      <c r="B10" s="82" t="str">
        <f t="shared" si="3"/>
        <v xml:space="preserve">         1040 Petty Cash</v>
      </c>
      <c r="C10" s="46"/>
      <c r="D10" s="46"/>
      <c r="E10" s="46"/>
      <c r="F10" s="46"/>
      <c r="G10" s="46"/>
      <c r="H10" s="46"/>
      <c r="I10" s="205" t="s">
        <v>206</v>
      </c>
      <c r="J10" s="206"/>
      <c r="K10" s="207">
        <f>J10</f>
        <v>0</v>
      </c>
      <c r="L10" s="207">
        <f>K10</f>
        <v>0</v>
      </c>
      <c r="M10" s="207">
        <f>L10</f>
        <v>0</v>
      </c>
      <c r="N10" s="207">
        <f>27.23</f>
        <v>27.23</v>
      </c>
      <c r="O10" s="207">
        <f>0</f>
        <v>0</v>
      </c>
      <c r="P10" s="207">
        <f>303.54</f>
        <v>303.54000000000002</v>
      </c>
    </row>
    <row r="11" spans="1:21">
      <c r="A11" s="80">
        <f t="shared" si="2"/>
        <v>11</v>
      </c>
      <c r="B11" s="82" t="str">
        <f t="shared" si="3"/>
        <v xml:space="preserve">      Total Bank Accounts</v>
      </c>
      <c r="C11" s="46"/>
      <c r="D11" s="46"/>
      <c r="E11" s="46"/>
      <c r="F11" s="46"/>
      <c r="G11" s="46"/>
      <c r="H11" s="46"/>
      <c r="I11" s="205" t="s">
        <v>3</v>
      </c>
      <c r="J11" s="208">
        <f t="shared" ref="J11:P11" si="4">(((J7)+(J8))+(J9))+(J10)</f>
        <v>93333.04</v>
      </c>
      <c r="K11" s="208">
        <f t="shared" si="4"/>
        <v>173853.06</v>
      </c>
      <c r="L11" s="208">
        <f t="shared" si="4"/>
        <v>217151.15</v>
      </c>
      <c r="M11" s="208">
        <f t="shared" si="4"/>
        <v>428352.73</v>
      </c>
      <c r="N11" s="208">
        <f t="shared" si="4"/>
        <v>194705.73</v>
      </c>
      <c r="O11" s="208">
        <f t="shared" si="4"/>
        <v>12321.73</v>
      </c>
      <c r="P11" s="208">
        <f t="shared" si="4"/>
        <v>71474.84</v>
      </c>
    </row>
    <row r="12" spans="1:21">
      <c r="A12" s="80">
        <f t="shared" si="2"/>
        <v>12</v>
      </c>
      <c r="B12" s="82" t="str">
        <f t="shared" si="3"/>
        <v xml:space="preserve">      Accounts Receivable</v>
      </c>
      <c r="C12" s="46"/>
      <c r="D12" s="46"/>
      <c r="E12" s="46"/>
      <c r="F12" s="46"/>
      <c r="G12" s="46"/>
      <c r="H12" s="46"/>
      <c r="I12" s="205" t="s">
        <v>109</v>
      </c>
      <c r="J12" s="206"/>
      <c r="K12" s="206"/>
      <c r="L12" s="206"/>
      <c r="M12" s="206"/>
      <c r="N12" s="206"/>
      <c r="O12" s="206"/>
      <c r="P12" s="206"/>
    </row>
    <row r="13" spans="1:21">
      <c r="A13" s="80">
        <f t="shared" si="2"/>
        <v>13</v>
      </c>
      <c r="B13" s="82" t="str">
        <f t="shared" si="3"/>
        <v xml:space="preserve">         1100 Accounts Receivable (A/R)</v>
      </c>
      <c r="C13" s="46"/>
      <c r="D13" s="46"/>
      <c r="E13" s="46"/>
      <c r="F13" s="46"/>
      <c r="G13" s="46"/>
      <c r="H13" s="46"/>
      <c r="I13" s="205" t="s">
        <v>70</v>
      </c>
      <c r="J13" s="206"/>
      <c r="K13" s="207">
        <f>25000</f>
        <v>25000</v>
      </c>
      <c r="L13" s="207">
        <f>260000</f>
        <v>260000</v>
      </c>
      <c r="M13" s="207">
        <f>0</f>
        <v>0</v>
      </c>
      <c r="N13" s="207">
        <f>5099.9</f>
        <v>5099.8999999999996</v>
      </c>
      <c r="O13" s="207">
        <f>17028</f>
        <v>17028</v>
      </c>
      <c r="P13" s="207">
        <f>35946.05</f>
        <v>35946.050000000003</v>
      </c>
    </row>
    <row r="14" spans="1:21">
      <c r="A14" s="80">
        <f t="shared" si="2"/>
        <v>14</v>
      </c>
      <c r="B14" s="82" t="str">
        <f t="shared" si="3"/>
        <v xml:space="preserve">      Total Accounts Receivable</v>
      </c>
      <c r="C14" s="46"/>
      <c r="D14" s="46"/>
      <c r="E14" s="46"/>
      <c r="F14" s="46"/>
      <c r="G14" s="46"/>
      <c r="H14" s="46"/>
      <c r="I14" s="205" t="s">
        <v>5</v>
      </c>
      <c r="J14" s="208">
        <f t="shared" ref="J14:P14" si="5">J13</f>
        <v>0</v>
      </c>
      <c r="K14" s="208">
        <f t="shared" si="5"/>
        <v>25000</v>
      </c>
      <c r="L14" s="208">
        <f t="shared" si="5"/>
        <v>260000</v>
      </c>
      <c r="M14" s="208">
        <f t="shared" si="5"/>
        <v>0</v>
      </c>
      <c r="N14" s="208">
        <f t="shared" si="5"/>
        <v>5099.8999999999996</v>
      </c>
      <c r="O14" s="208">
        <f t="shared" si="5"/>
        <v>17028</v>
      </c>
      <c r="P14" s="208">
        <f t="shared" si="5"/>
        <v>35946.050000000003</v>
      </c>
    </row>
    <row r="15" spans="1:21">
      <c r="A15" s="80">
        <f t="shared" si="2"/>
        <v>15</v>
      </c>
      <c r="B15" s="82" t="str">
        <f t="shared" si="3"/>
        <v xml:space="preserve">      Other Current Assets</v>
      </c>
      <c r="C15" s="46"/>
      <c r="D15" s="46"/>
      <c r="E15" s="46"/>
      <c r="F15" s="46"/>
      <c r="G15" s="46"/>
      <c r="H15" s="46"/>
      <c r="I15" s="205" t="s">
        <v>198</v>
      </c>
      <c r="J15" s="206"/>
      <c r="K15" s="206"/>
      <c r="L15" s="206"/>
      <c r="M15" s="206"/>
      <c r="N15" s="206"/>
      <c r="O15" s="206"/>
      <c r="P15" s="206"/>
    </row>
    <row r="16" spans="1:21">
      <c r="A16" s="80">
        <f t="shared" si="2"/>
        <v>16</v>
      </c>
      <c r="B16" s="82" t="str">
        <f t="shared" si="3"/>
        <v xml:space="preserve">         1300 Prepaid Expenses</v>
      </c>
      <c r="C16" s="46"/>
      <c r="D16" s="46"/>
      <c r="E16" s="46"/>
      <c r="F16" s="46"/>
      <c r="G16" s="46"/>
      <c r="H16" s="46"/>
      <c r="I16" s="205" t="s">
        <v>9</v>
      </c>
      <c r="J16" s="207">
        <f>225</f>
        <v>225</v>
      </c>
      <c r="K16" s="207">
        <f>1777.94</f>
        <v>1777.94</v>
      </c>
      <c r="L16" s="207">
        <f>961</f>
        <v>961</v>
      </c>
      <c r="M16" s="207">
        <f>673.58</f>
        <v>673.58</v>
      </c>
      <c r="N16" s="207">
        <f>1907.5</f>
        <v>1907.5</v>
      </c>
      <c r="O16" s="207">
        <f>219.5</f>
        <v>219.5</v>
      </c>
      <c r="P16" s="207">
        <f>219.5</f>
        <v>219.5</v>
      </c>
    </row>
    <row r="17" spans="1:16">
      <c r="A17" s="80">
        <f t="shared" si="2"/>
        <v>17</v>
      </c>
      <c r="B17" s="82" t="str">
        <f t="shared" si="3"/>
        <v xml:space="preserve">         1900 Undeposited Funds</v>
      </c>
      <c r="C17" s="46"/>
      <c r="D17" s="46"/>
      <c r="E17" s="46"/>
      <c r="F17" s="46"/>
      <c r="G17" s="46"/>
      <c r="H17" s="46"/>
      <c r="I17" s="205" t="s">
        <v>7</v>
      </c>
      <c r="J17" s="206"/>
      <c r="K17" s="207">
        <f>J17</f>
        <v>0</v>
      </c>
      <c r="L17" s="207">
        <f>400</f>
        <v>400</v>
      </c>
      <c r="M17" s="207">
        <f>1125</f>
        <v>1125</v>
      </c>
      <c r="N17" s="207">
        <f>0</f>
        <v>0</v>
      </c>
      <c r="O17" s="207">
        <f>N17</f>
        <v>0</v>
      </c>
      <c r="P17" s="207">
        <f>O17</f>
        <v>0</v>
      </c>
    </row>
    <row r="18" spans="1:16">
      <c r="A18" s="80">
        <f t="shared" si="2"/>
        <v>18</v>
      </c>
      <c r="B18" s="82" t="str">
        <f t="shared" si="3"/>
        <v xml:space="preserve">      Total Other Current Assets</v>
      </c>
      <c r="C18" s="46"/>
      <c r="D18" s="46"/>
      <c r="E18" s="46"/>
      <c r="F18" s="46"/>
      <c r="G18" s="46"/>
      <c r="H18" s="46"/>
      <c r="I18" s="205" t="s">
        <v>199</v>
      </c>
      <c r="J18" s="208">
        <f t="shared" ref="J18:P18" si="6">(J16)+(J17)</f>
        <v>225</v>
      </c>
      <c r="K18" s="208">
        <f t="shared" si="6"/>
        <v>1777.94</v>
      </c>
      <c r="L18" s="208">
        <f t="shared" si="6"/>
        <v>1361</v>
      </c>
      <c r="M18" s="208">
        <f t="shared" si="6"/>
        <v>1798.58</v>
      </c>
      <c r="N18" s="208">
        <f t="shared" si="6"/>
        <v>1907.5</v>
      </c>
      <c r="O18" s="208">
        <f t="shared" si="6"/>
        <v>219.5</v>
      </c>
      <c r="P18" s="208">
        <f t="shared" si="6"/>
        <v>219.5</v>
      </c>
    </row>
    <row r="19" spans="1:16">
      <c r="A19" s="80">
        <f t="shared" si="2"/>
        <v>19</v>
      </c>
      <c r="B19" s="82" t="str">
        <f t="shared" si="3"/>
        <v xml:space="preserve">   Total Current Assets</v>
      </c>
      <c r="C19" s="46"/>
      <c r="D19" s="46"/>
      <c r="E19" s="46"/>
      <c r="F19" s="46"/>
      <c r="G19" s="46"/>
      <c r="H19" s="46"/>
      <c r="I19" s="205" t="s">
        <v>110</v>
      </c>
      <c r="J19" s="208">
        <f t="shared" ref="J19:P19" si="7">((J11)+(J14))+(J18)</f>
        <v>93558.04</v>
      </c>
      <c r="K19" s="208">
        <f t="shared" si="7"/>
        <v>200631</v>
      </c>
      <c r="L19" s="208">
        <f t="shared" si="7"/>
        <v>478512.15</v>
      </c>
      <c r="M19" s="208">
        <f t="shared" si="7"/>
        <v>430151.31</v>
      </c>
      <c r="N19" s="208">
        <f t="shared" si="7"/>
        <v>201713.13</v>
      </c>
      <c r="O19" s="208">
        <f t="shared" si="7"/>
        <v>29569.23</v>
      </c>
      <c r="P19" s="208">
        <f t="shared" si="7"/>
        <v>107640.39</v>
      </c>
    </row>
    <row r="20" spans="1:16">
      <c r="A20" s="80">
        <f t="shared" si="2"/>
        <v>20</v>
      </c>
      <c r="B20" s="82" t="str">
        <f t="shared" si="3"/>
        <v xml:space="preserve">   Fixed Assets</v>
      </c>
      <c r="C20" s="46"/>
      <c r="D20" s="46"/>
      <c r="E20" s="46"/>
      <c r="F20" s="46"/>
      <c r="G20" s="46"/>
      <c r="H20" s="46"/>
      <c r="I20" s="205" t="s">
        <v>200</v>
      </c>
      <c r="J20" s="206"/>
      <c r="K20" s="206"/>
      <c r="L20" s="206"/>
      <c r="M20" s="206"/>
      <c r="N20" s="206"/>
      <c r="O20" s="206"/>
      <c r="P20" s="206"/>
    </row>
    <row r="21" spans="1:16">
      <c r="A21" s="80">
        <f t="shared" si="2"/>
        <v>21</v>
      </c>
      <c r="B21" s="82" t="str">
        <f t="shared" si="3"/>
        <v xml:space="preserve">      1410 Office Equipment</v>
      </c>
      <c r="C21" s="46"/>
      <c r="D21" s="46"/>
      <c r="E21" s="46"/>
      <c r="F21" s="46"/>
      <c r="G21" s="46"/>
      <c r="H21" s="46"/>
      <c r="I21" s="205" t="s">
        <v>201</v>
      </c>
      <c r="J21" s="206"/>
      <c r="K21" s="207">
        <f t="shared" ref="K21:O25" si="8">J21</f>
        <v>0</v>
      </c>
      <c r="L21" s="207">
        <f t="shared" si="8"/>
        <v>0</v>
      </c>
      <c r="M21" s="207">
        <f t="shared" si="8"/>
        <v>0</v>
      </c>
      <c r="N21" s="207">
        <f t="shared" si="8"/>
        <v>0</v>
      </c>
      <c r="O21" s="207">
        <f t="shared" si="8"/>
        <v>0</v>
      </c>
      <c r="P21" s="207">
        <f>2594.81</f>
        <v>2594.81</v>
      </c>
    </row>
    <row r="22" spans="1:16">
      <c r="A22" s="80">
        <f t="shared" si="2"/>
        <v>22</v>
      </c>
      <c r="B22" s="82" t="str">
        <f t="shared" si="3"/>
        <v xml:space="preserve">      1490 Accumulated Depreciation</v>
      </c>
      <c r="C22" s="46"/>
      <c r="D22" s="46"/>
      <c r="E22" s="46"/>
      <c r="F22" s="46"/>
      <c r="G22" s="46"/>
      <c r="H22" s="46"/>
      <c r="I22" s="205" t="s">
        <v>348</v>
      </c>
      <c r="J22" s="206"/>
      <c r="K22" s="207">
        <f t="shared" si="8"/>
        <v>0</v>
      </c>
      <c r="L22" s="207">
        <f t="shared" si="8"/>
        <v>0</v>
      </c>
      <c r="M22" s="207">
        <f t="shared" si="8"/>
        <v>0</v>
      </c>
      <c r="N22" s="207">
        <f t="shared" si="8"/>
        <v>0</v>
      </c>
      <c r="O22" s="207">
        <f t="shared" si="8"/>
        <v>0</v>
      </c>
      <c r="P22" s="207">
        <f>-72.08</f>
        <v>-72.08</v>
      </c>
    </row>
    <row r="23" spans="1:16">
      <c r="A23" s="80">
        <f t="shared" si="2"/>
        <v>23</v>
      </c>
      <c r="B23" s="82" t="str">
        <f t="shared" si="3"/>
        <v xml:space="preserve">      1500 Mobile App</v>
      </c>
      <c r="C23" s="46"/>
      <c r="D23" s="46"/>
      <c r="E23" s="46"/>
      <c r="F23" s="46"/>
      <c r="G23" s="46"/>
      <c r="H23" s="46"/>
      <c r="I23" s="205" t="s">
        <v>207</v>
      </c>
      <c r="J23" s="206"/>
      <c r="K23" s="207">
        <f t="shared" si="8"/>
        <v>0</v>
      </c>
      <c r="L23" s="207">
        <f t="shared" si="8"/>
        <v>0</v>
      </c>
      <c r="M23" s="207">
        <f t="shared" si="8"/>
        <v>0</v>
      </c>
      <c r="N23" s="207">
        <f>33579</f>
        <v>33579</v>
      </c>
      <c r="O23" s="207">
        <f>37579</f>
        <v>37579</v>
      </c>
      <c r="P23" s="207">
        <f>O23</f>
        <v>37579</v>
      </c>
    </row>
    <row r="24" spans="1:16">
      <c r="A24" s="80">
        <f t="shared" si="2"/>
        <v>24</v>
      </c>
      <c r="B24" s="82" t="str">
        <f t="shared" si="3"/>
        <v xml:space="preserve">      1510 Trademark</v>
      </c>
      <c r="C24" s="46"/>
      <c r="D24" s="46"/>
      <c r="E24" s="46"/>
      <c r="F24" s="46"/>
      <c r="G24" s="46"/>
      <c r="H24" s="46"/>
      <c r="I24" s="205" t="s">
        <v>208</v>
      </c>
      <c r="J24" s="206"/>
      <c r="K24" s="207">
        <f t="shared" si="8"/>
        <v>0</v>
      </c>
      <c r="L24" s="207">
        <f t="shared" si="8"/>
        <v>0</v>
      </c>
      <c r="M24" s="207">
        <f t="shared" si="8"/>
        <v>0</v>
      </c>
      <c r="N24" s="207">
        <f>1300</f>
        <v>1300</v>
      </c>
      <c r="O24" s="207">
        <f>N24</f>
        <v>1300</v>
      </c>
      <c r="P24" s="207">
        <f>O24</f>
        <v>1300</v>
      </c>
    </row>
    <row r="25" spans="1:16">
      <c r="A25" s="80">
        <f t="shared" si="2"/>
        <v>25</v>
      </c>
      <c r="B25" s="82" t="str">
        <f t="shared" si="3"/>
        <v xml:space="preserve">      1590 Accumulated Amortization</v>
      </c>
      <c r="C25" s="46"/>
      <c r="D25" s="46"/>
      <c r="E25" s="46"/>
      <c r="F25" s="46"/>
      <c r="G25" s="46"/>
      <c r="H25" s="46"/>
      <c r="I25" s="205" t="s">
        <v>209</v>
      </c>
      <c r="J25" s="206"/>
      <c r="K25" s="207">
        <f t="shared" si="8"/>
        <v>0</v>
      </c>
      <c r="L25" s="207">
        <f t="shared" si="8"/>
        <v>0</v>
      </c>
      <c r="M25" s="207">
        <f t="shared" si="8"/>
        <v>0</v>
      </c>
      <c r="N25" s="207">
        <f>-1678.95</f>
        <v>-1678.95</v>
      </c>
      <c r="O25" s="207">
        <f>-9194.75</f>
        <v>-9194.75</v>
      </c>
      <c r="P25" s="207">
        <f>-16710.55</f>
        <v>-16710.55</v>
      </c>
    </row>
    <row r="26" spans="1:16">
      <c r="A26" s="80">
        <f t="shared" si="2"/>
        <v>26</v>
      </c>
      <c r="B26" s="82" t="str">
        <f t="shared" si="3"/>
        <v xml:space="preserve">   Total Fixed Assets</v>
      </c>
      <c r="C26" s="46"/>
      <c r="D26" s="46"/>
      <c r="E26" s="46"/>
      <c r="F26" s="46"/>
      <c r="G26" s="46"/>
      <c r="H26" s="46"/>
      <c r="I26" s="205" t="s">
        <v>202</v>
      </c>
      <c r="J26" s="208">
        <f t="shared" ref="J26:P26" si="9">((((J21)+(J22))+(J23))+(J24))+(J25)</f>
        <v>0</v>
      </c>
      <c r="K26" s="208">
        <f t="shared" si="9"/>
        <v>0</v>
      </c>
      <c r="L26" s="208">
        <f t="shared" si="9"/>
        <v>0</v>
      </c>
      <c r="M26" s="208">
        <f t="shared" si="9"/>
        <v>0</v>
      </c>
      <c r="N26" s="208">
        <f t="shared" si="9"/>
        <v>33200.050000000003</v>
      </c>
      <c r="O26" s="208">
        <f t="shared" si="9"/>
        <v>29684.25</v>
      </c>
      <c r="P26" s="208">
        <f t="shared" si="9"/>
        <v>24691.180000000004</v>
      </c>
    </row>
    <row r="27" spans="1:16">
      <c r="A27" s="80">
        <f t="shared" si="2"/>
        <v>27</v>
      </c>
      <c r="B27" s="82" t="str">
        <f t="shared" si="3"/>
        <v xml:space="preserve">   Other Assets</v>
      </c>
      <c r="C27" s="46"/>
      <c r="D27" s="46"/>
      <c r="E27" s="46"/>
      <c r="F27" s="46"/>
      <c r="G27" s="46"/>
      <c r="H27" s="46"/>
      <c r="I27" s="205" t="s">
        <v>111</v>
      </c>
      <c r="J27" s="206"/>
      <c r="K27" s="206"/>
      <c r="L27" s="206"/>
      <c r="M27" s="206"/>
      <c r="N27" s="206"/>
      <c r="O27" s="206"/>
      <c r="P27" s="206"/>
    </row>
    <row r="28" spans="1:16">
      <c r="A28" s="80">
        <f t="shared" si="2"/>
        <v>28</v>
      </c>
      <c r="B28" s="82" t="str">
        <f t="shared" si="3"/>
        <v xml:space="preserve">      1800 Security Deposits</v>
      </c>
      <c r="C28" s="46"/>
      <c r="D28" s="46"/>
      <c r="E28" s="46"/>
      <c r="F28" s="46"/>
      <c r="G28" s="46"/>
      <c r="H28" s="46"/>
      <c r="I28" s="205" t="s">
        <v>11</v>
      </c>
      <c r="J28" s="206"/>
      <c r="K28" s="207">
        <f>J28</f>
        <v>0</v>
      </c>
      <c r="L28" s="207">
        <f>375.01</f>
        <v>375.01</v>
      </c>
      <c r="M28" s="207">
        <f>2175.01</f>
        <v>2175.0100000000002</v>
      </c>
      <c r="N28" s="207">
        <f>1800</f>
        <v>1800</v>
      </c>
      <c r="O28" s="207">
        <f>N28</f>
        <v>1800</v>
      </c>
      <c r="P28" s="207">
        <f>O28</f>
        <v>1800</v>
      </c>
    </row>
    <row r="29" spans="1:16">
      <c r="A29" s="80">
        <f t="shared" si="2"/>
        <v>29</v>
      </c>
      <c r="B29" s="82" t="str">
        <f t="shared" si="3"/>
        <v xml:space="preserve">   Total Other Assets</v>
      </c>
      <c r="C29" s="46"/>
      <c r="D29" s="46"/>
      <c r="E29" s="46"/>
      <c r="F29" s="46"/>
      <c r="G29" s="46"/>
      <c r="H29" s="46"/>
      <c r="I29" s="205" t="s">
        <v>112</v>
      </c>
      <c r="J29" s="208">
        <f t="shared" ref="J29:P29" si="10">J28</f>
        <v>0</v>
      </c>
      <c r="K29" s="208">
        <f t="shared" si="10"/>
        <v>0</v>
      </c>
      <c r="L29" s="208">
        <f t="shared" si="10"/>
        <v>375.01</v>
      </c>
      <c r="M29" s="208">
        <f t="shared" si="10"/>
        <v>2175.0100000000002</v>
      </c>
      <c r="N29" s="208">
        <f t="shared" si="10"/>
        <v>1800</v>
      </c>
      <c r="O29" s="208">
        <f t="shared" si="10"/>
        <v>1800</v>
      </c>
      <c r="P29" s="208">
        <f t="shared" si="10"/>
        <v>1800</v>
      </c>
    </row>
    <row r="30" spans="1:16">
      <c r="A30" s="80">
        <f t="shared" si="2"/>
        <v>30</v>
      </c>
      <c r="B30" s="82" t="str">
        <f t="shared" si="3"/>
        <v>TOTAL ASSETS</v>
      </c>
      <c r="C30" s="46"/>
      <c r="D30" s="46"/>
      <c r="E30" s="46"/>
      <c r="F30" s="46"/>
      <c r="G30" s="46"/>
      <c r="H30" s="46"/>
      <c r="I30" s="205" t="s">
        <v>113</v>
      </c>
      <c r="J30" s="208">
        <f t="shared" ref="J30:P30" si="11">((J19)+(J26))+(J29)</f>
        <v>93558.04</v>
      </c>
      <c r="K30" s="208">
        <f t="shared" si="11"/>
        <v>200631</v>
      </c>
      <c r="L30" s="208">
        <f t="shared" si="11"/>
        <v>478887.16000000003</v>
      </c>
      <c r="M30" s="208">
        <f t="shared" si="11"/>
        <v>432326.32</v>
      </c>
      <c r="N30" s="208">
        <f t="shared" si="11"/>
        <v>236713.18</v>
      </c>
      <c r="O30" s="208">
        <f t="shared" si="11"/>
        <v>61053.479999999996</v>
      </c>
      <c r="P30" s="208">
        <f t="shared" si="11"/>
        <v>134131.57</v>
      </c>
    </row>
    <row r="31" spans="1:16">
      <c r="A31" s="80">
        <f t="shared" si="2"/>
        <v>31</v>
      </c>
      <c r="B31" s="82" t="str">
        <f t="shared" si="3"/>
        <v>LIABILITIES AND EQUITY</v>
      </c>
      <c r="C31" s="46"/>
      <c r="D31" s="46"/>
      <c r="E31" s="46"/>
      <c r="F31" s="46"/>
      <c r="G31" s="46"/>
      <c r="H31" s="46"/>
      <c r="I31" s="205" t="s">
        <v>114</v>
      </c>
      <c r="J31" s="206"/>
      <c r="K31" s="206"/>
      <c r="L31" s="206"/>
      <c r="M31" s="206"/>
      <c r="N31" s="206"/>
      <c r="O31" s="206"/>
      <c r="P31" s="206"/>
    </row>
    <row r="32" spans="1:16">
      <c r="A32" s="80">
        <f t="shared" si="2"/>
        <v>32</v>
      </c>
      <c r="B32" s="82" t="str">
        <f t="shared" si="3"/>
        <v xml:space="preserve">   Liabilities</v>
      </c>
      <c r="C32" s="46"/>
      <c r="D32" s="46"/>
      <c r="E32" s="46"/>
      <c r="F32" s="46"/>
      <c r="G32" s="46"/>
      <c r="H32" s="46"/>
      <c r="I32" s="205" t="s">
        <v>115</v>
      </c>
      <c r="J32" s="206"/>
      <c r="K32" s="206"/>
      <c r="L32" s="206"/>
      <c r="M32" s="206"/>
      <c r="N32" s="206"/>
      <c r="O32" s="206"/>
      <c r="P32" s="206"/>
    </row>
    <row r="33" spans="1:16">
      <c r="A33" s="80">
        <f t="shared" si="2"/>
        <v>33</v>
      </c>
      <c r="B33" s="82" t="str">
        <f t="shared" si="3"/>
        <v xml:space="preserve">      Current Liabilities</v>
      </c>
      <c r="C33" s="46"/>
      <c r="D33" s="46"/>
      <c r="E33" s="46"/>
      <c r="F33" s="46"/>
      <c r="G33" s="46"/>
      <c r="H33" s="46"/>
      <c r="I33" s="205" t="s">
        <v>171</v>
      </c>
      <c r="J33" s="206"/>
      <c r="K33" s="206"/>
      <c r="L33" s="206"/>
      <c r="M33" s="206"/>
      <c r="N33" s="206"/>
      <c r="O33" s="206"/>
      <c r="P33" s="206"/>
    </row>
    <row r="34" spans="1:16">
      <c r="A34" s="80">
        <f t="shared" si="2"/>
        <v>34</v>
      </c>
      <c r="B34" s="82" t="str">
        <f t="shared" si="3"/>
        <v xml:space="preserve">         Accounts Payable</v>
      </c>
      <c r="C34" s="46"/>
      <c r="D34" s="46"/>
      <c r="E34" s="46"/>
      <c r="F34" s="46"/>
      <c r="G34" s="46"/>
      <c r="H34" s="46"/>
      <c r="I34" s="205" t="s">
        <v>172</v>
      </c>
      <c r="J34" s="206"/>
      <c r="K34" s="206"/>
      <c r="L34" s="206"/>
      <c r="M34" s="206"/>
      <c r="N34" s="206"/>
      <c r="O34" s="206"/>
      <c r="P34" s="206"/>
    </row>
    <row r="35" spans="1:16">
      <c r="A35" s="80">
        <f t="shared" si="2"/>
        <v>35</v>
      </c>
      <c r="B35" s="82" t="str">
        <f t="shared" si="3"/>
        <v xml:space="preserve">            2100 Accounts Payable (A/P)</v>
      </c>
      <c r="C35" s="46"/>
      <c r="D35" s="46"/>
      <c r="E35" s="46"/>
      <c r="F35" s="46"/>
      <c r="G35" s="46"/>
      <c r="H35" s="46"/>
      <c r="I35" s="205" t="s">
        <v>173</v>
      </c>
      <c r="J35" s="206"/>
      <c r="K35" s="207">
        <f>9993.22</f>
        <v>9993.2199999999993</v>
      </c>
      <c r="L35" s="207">
        <f>22619.38</f>
        <v>22619.38</v>
      </c>
      <c r="M35" s="207">
        <f>36279.25</f>
        <v>36279.25</v>
      </c>
      <c r="N35" s="207">
        <f>975</f>
        <v>975</v>
      </c>
      <c r="O35" s="207">
        <f>0</f>
        <v>0</v>
      </c>
      <c r="P35" s="207">
        <f>0</f>
        <v>0</v>
      </c>
    </row>
    <row r="36" spans="1:16">
      <c r="A36" s="80">
        <f t="shared" si="2"/>
        <v>36</v>
      </c>
      <c r="B36" s="82" t="str">
        <f t="shared" si="3"/>
        <v xml:space="preserve">         Total Accounts Payable</v>
      </c>
      <c r="C36" s="46"/>
      <c r="D36" s="46"/>
      <c r="E36" s="46"/>
      <c r="F36" s="46"/>
      <c r="G36" s="46"/>
      <c r="H36" s="46"/>
      <c r="I36" s="205" t="s">
        <v>23</v>
      </c>
      <c r="J36" s="208">
        <f t="shared" ref="J36:P36" si="12">J35</f>
        <v>0</v>
      </c>
      <c r="K36" s="208">
        <f t="shared" si="12"/>
        <v>9993.2199999999993</v>
      </c>
      <c r="L36" s="208">
        <f t="shared" si="12"/>
        <v>22619.38</v>
      </c>
      <c r="M36" s="208">
        <f t="shared" si="12"/>
        <v>36279.25</v>
      </c>
      <c r="N36" s="208">
        <f t="shared" si="12"/>
        <v>975</v>
      </c>
      <c r="O36" s="208">
        <f t="shared" si="12"/>
        <v>0</v>
      </c>
      <c r="P36" s="208">
        <f t="shared" si="12"/>
        <v>0</v>
      </c>
    </row>
    <row r="37" spans="1:16">
      <c r="A37" s="80">
        <f t="shared" si="2"/>
        <v>37</v>
      </c>
      <c r="B37" s="82" t="str">
        <f t="shared" si="3"/>
        <v xml:space="preserve">         Other Current Liabilities</v>
      </c>
      <c r="C37" s="46"/>
      <c r="D37" s="46"/>
      <c r="E37" s="46"/>
      <c r="F37" s="46"/>
      <c r="G37" s="46"/>
      <c r="H37" s="46"/>
      <c r="I37" s="205" t="s">
        <v>174</v>
      </c>
      <c r="J37" s="206"/>
      <c r="K37" s="206"/>
      <c r="L37" s="206"/>
      <c r="M37" s="206"/>
      <c r="N37" s="206"/>
      <c r="O37" s="206"/>
      <c r="P37" s="206"/>
    </row>
    <row r="38" spans="1:16">
      <c r="A38" s="80">
        <f t="shared" si="2"/>
        <v>38</v>
      </c>
      <c r="B38" s="82" t="str">
        <f t="shared" si="3"/>
        <v xml:space="preserve">            2300 Payroll Liabilities</v>
      </c>
      <c r="C38" s="46"/>
      <c r="D38" s="46"/>
      <c r="E38" s="46"/>
      <c r="F38" s="46"/>
      <c r="G38" s="46"/>
      <c r="H38" s="46"/>
      <c r="I38" s="205" t="s">
        <v>29</v>
      </c>
      <c r="J38" s="206"/>
      <c r="K38" s="207">
        <f>J38</f>
        <v>0</v>
      </c>
      <c r="L38" s="207">
        <f>K38</f>
        <v>0</v>
      </c>
      <c r="M38" s="207">
        <f>L38</f>
        <v>0</v>
      </c>
      <c r="N38" s="207">
        <f>M38</f>
        <v>0</v>
      </c>
      <c r="O38" s="207">
        <f>N38</f>
        <v>0</v>
      </c>
      <c r="P38" s="207">
        <f>0</f>
        <v>0</v>
      </c>
    </row>
    <row r="39" spans="1:16">
      <c r="A39" s="80">
        <f t="shared" si="2"/>
        <v>39</v>
      </c>
      <c r="B39" s="82" t="str">
        <f t="shared" si="3"/>
        <v xml:space="preserve">               2310 Federal Taxes (941/944)</v>
      </c>
      <c r="C39" s="46"/>
      <c r="D39" s="46"/>
      <c r="E39" s="46"/>
      <c r="F39" s="46"/>
      <c r="G39" s="46"/>
      <c r="H39" s="46"/>
      <c r="I39" s="205" t="s">
        <v>210</v>
      </c>
      <c r="J39" s="206"/>
      <c r="K39" s="207">
        <f t="shared" ref="K39:M41" si="13">J39</f>
        <v>0</v>
      </c>
      <c r="L39" s="207">
        <f t="shared" si="13"/>
        <v>0</v>
      </c>
      <c r="M39" s="207">
        <f t="shared" si="13"/>
        <v>0</v>
      </c>
      <c r="N39" s="207">
        <f>982.98</f>
        <v>982.98</v>
      </c>
      <c r="O39" s="207">
        <f>0</f>
        <v>0</v>
      </c>
      <c r="P39" s="207">
        <f>O39</f>
        <v>0</v>
      </c>
    </row>
    <row r="40" spans="1:16">
      <c r="A40" s="80">
        <f t="shared" si="2"/>
        <v>40</v>
      </c>
      <c r="B40" s="82" t="str">
        <f t="shared" si="3"/>
        <v xml:space="preserve">               2320 NYS Employment Taxes</v>
      </c>
      <c r="C40" s="46"/>
      <c r="D40" s="46"/>
      <c r="E40" s="46"/>
      <c r="F40" s="46"/>
      <c r="G40" s="46"/>
      <c r="H40" s="46"/>
      <c r="I40" s="205" t="s">
        <v>211</v>
      </c>
      <c r="J40" s="206"/>
      <c r="K40" s="207">
        <f t="shared" si="13"/>
        <v>0</v>
      </c>
      <c r="L40" s="207">
        <f t="shared" si="13"/>
        <v>0</v>
      </c>
      <c r="M40" s="207">
        <f t="shared" si="13"/>
        <v>0</v>
      </c>
      <c r="N40" s="207">
        <f>438.71</f>
        <v>438.71</v>
      </c>
      <c r="O40" s="207">
        <f>0</f>
        <v>0</v>
      </c>
      <c r="P40" s="207">
        <f>O40</f>
        <v>0</v>
      </c>
    </row>
    <row r="41" spans="1:16">
      <c r="A41" s="80">
        <f t="shared" si="2"/>
        <v>41</v>
      </c>
      <c r="B41" s="82" t="str">
        <f t="shared" si="3"/>
        <v xml:space="preserve">               2330 NYS Income Tax</v>
      </c>
      <c r="C41" s="46"/>
      <c r="D41" s="46"/>
      <c r="E41" s="46"/>
      <c r="F41" s="46"/>
      <c r="G41" s="46"/>
      <c r="H41" s="46"/>
      <c r="I41" s="205" t="s">
        <v>212</v>
      </c>
      <c r="J41" s="206"/>
      <c r="K41" s="207">
        <f t="shared" si="13"/>
        <v>0</v>
      </c>
      <c r="L41" s="207">
        <f t="shared" si="13"/>
        <v>0</v>
      </c>
      <c r="M41" s="207">
        <f t="shared" si="13"/>
        <v>0</v>
      </c>
      <c r="N41" s="207">
        <f>344</f>
        <v>344</v>
      </c>
      <c r="O41" s="207">
        <f>0</f>
        <v>0</v>
      </c>
      <c r="P41" s="207">
        <f>O41</f>
        <v>0</v>
      </c>
    </row>
    <row r="42" spans="1:16">
      <c r="A42" s="80">
        <f t="shared" si="2"/>
        <v>42</v>
      </c>
      <c r="B42" s="82" t="str">
        <f t="shared" si="3"/>
        <v xml:space="preserve">            Total 2300 Payroll Liabilities</v>
      </c>
      <c r="C42" s="46"/>
      <c r="D42" s="46"/>
      <c r="E42" s="46"/>
      <c r="F42" s="46"/>
      <c r="G42" s="46"/>
      <c r="H42" s="46"/>
      <c r="I42" s="205" t="s">
        <v>203</v>
      </c>
      <c r="J42" s="208">
        <f t="shared" ref="J42:P42" si="14">(((J38)+(J39))+(J40))+(J41)</f>
        <v>0</v>
      </c>
      <c r="K42" s="208">
        <f t="shared" si="14"/>
        <v>0</v>
      </c>
      <c r="L42" s="208">
        <f t="shared" si="14"/>
        <v>0</v>
      </c>
      <c r="M42" s="208">
        <f t="shared" si="14"/>
        <v>0</v>
      </c>
      <c r="N42" s="208">
        <f t="shared" si="14"/>
        <v>1765.69</v>
      </c>
      <c r="O42" s="208">
        <f t="shared" si="14"/>
        <v>0</v>
      </c>
      <c r="P42" s="208">
        <f t="shared" si="14"/>
        <v>0</v>
      </c>
    </row>
    <row r="43" spans="1:16">
      <c r="A43" s="80">
        <f t="shared" si="2"/>
        <v>43</v>
      </c>
      <c r="B43" s="82" t="str">
        <f t="shared" si="3"/>
        <v xml:space="preserve">            2400 Accrued Expenses</v>
      </c>
      <c r="C43" s="46"/>
      <c r="D43" s="46"/>
      <c r="E43" s="46"/>
      <c r="F43" s="46"/>
      <c r="G43" s="46"/>
      <c r="H43" s="46"/>
      <c r="I43" s="205" t="s">
        <v>27</v>
      </c>
      <c r="J43" s="206"/>
      <c r="K43" s="207">
        <f>J43</f>
        <v>0</v>
      </c>
      <c r="L43" s="207">
        <f>K43</f>
        <v>0</v>
      </c>
      <c r="M43" s="207">
        <f>335.49</f>
        <v>335.49</v>
      </c>
      <c r="N43" s="207">
        <f>850</f>
        <v>850</v>
      </c>
      <c r="O43" s="207">
        <f>2812.36</f>
        <v>2812.36</v>
      </c>
      <c r="P43" s="207">
        <f>14349.48</f>
        <v>14349.48</v>
      </c>
    </row>
    <row r="44" spans="1:16">
      <c r="A44" s="80">
        <f t="shared" si="2"/>
        <v>44</v>
      </c>
      <c r="B44" s="82" t="str">
        <f t="shared" si="3"/>
        <v xml:space="preserve">            2900 Direct Deposit Payable</v>
      </c>
      <c r="C44" s="46"/>
      <c r="D44" s="46"/>
      <c r="E44" s="46"/>
      <c r="F44" s="46"/>
      <c r="G44" s="46"/>
      <c r="H44" s="46"/>
      <c r="I44" s="205" t="s">
        <v>213</v>
      </c>
      <c r="J44" s="206"/>
      <c r="K44" s="207">
        <f>J44</f>
        <v>0</v>
      </c>
      <c r="L44" s="207">
        <f>K44</f>
        <v>0</v>
      </c>
      <c r="M44" s="207">
        <f>L44</f>
        <v>0</v>
      </c>
      <c r="N44" s="207">
        <f>0</f>
        <v>0</v>
      </c>
      <c r="O44" s="207">
        <f>0</f>
        <v>0</v>
      </c>
      <c r="P44" s="207">
        <f>O44</f>
        <v>0</v>
      </c>
    </row>
    <row r="45" spans="1:16">
      <c r="A45" s="80">
        <f t="shared" si="2"/>
        <v>45</v>
      </c>
      <c r="B45" s="82" t="str">
        <f t="shared" si="3"/>
        <v xml:space="preserve">         Total Other Current Liabilities</v>
      </c>
      <c r="C45" s="46"/>
      <c r="D45" s="46"/>
      <c r="E45" s="46"/>
      <c r="F45" s="46"/>
      <c r="G45" s="46"/>
      <c r="H45" s="46"/>
      <c r="I45" s="205" t="s">
        <v>175</v>
      </c>
      <c r="J45" s="208">
        <f t="shared" ref="J45:P45" si="15">((J42)+(J43))+(J44)</f>
        <v>0</v>
      </c>
      <c r="K45" s="208">
        <f t="shared" si="15"/>
        <v>0</v>
      </c>
      <c r="L45" s="208">
        <f t="shared" si="15"/>
        <v>0</v>
      </c>
      <c r="M45" s="208">
        <f t="shared" si="15"/>
        <v>335.49</v>
      </c>
      <c r="N45" s="208">
        <f t="shared" si="15"/>
        <v>2615.69</v>
      </c>
      <c r="O45" s="208">
        <f t="shared" si="15"/>
        <v>2812.36</v>
      </c>
      <c r="P45" s="208">
        <f t="shared" si="15"/>
        <v>14349.48</v>
      </c>
    </row>
    <row r="46" spans="1:16">
      <c r="A46" s="80">
        <f t="shared" si="2"/>
        <v>46</v>
      </c>
      <c r="B46" s="82" t="str">
        <f t="shared" si="3"/>
        <v xml:space="preserve">      Total Current Liabilities</v>
      </c>
      <c r="C46" s="46"/>
      <c r="D46" s="46"/>
      <c r="E46" s="46"/>
      <c r="F46" s="46"/>
      <c r="G46" s="46"/>
      <c r="H46" s="46"/>
      <c r="I46" s="205" t="s">
        <v>176</v>
      </c>
      <c r="J46" s="208">
        <f t="shared" ref="J46:P46" si="16">(J36)+(J45)</f>
        <v>0</v>
      </c>
      <c r="K46" s="208">
        <f t="shared" si="16"/>
        <v>9993.2199999999993</v>
      </c>
      <c r="L46" s="208">
        <f t="shared" si="16"/>
        <v>22619.38</v>
      </c>
      <c r="M46" s="208">
        <f t="shared" si="16"/>
        <v>36614.74</v>
      </c>
      <c r="N46" s="208">
        <f t="shared" si="16"/>
        <v>3590.69</v>
      </c>
      <c r="O46" s="208">
        <f t="shared" si="16"/>
        <v>2812.36</v>
      </c>
      <c r="P46" s="208">
        <f t="shared" si="16"/>
        <v>14349.48</v>
      </c>
    </row>
    <row r="47" spans="1:16">
      <c r="A47" s="80">
        <f t="shared" si="2"/>
        <v>47</v>
      </c>
      <c r="B47" s="82" t="str">
        <f t="shared" si="3"/>
        <v xml:space="preserve">   Total Liabilities</v>
      </c>
      <c r="C47" s="46"/>
      <c r="D47" s="46"/>
      <c r="E47" s="46"/>
      <c r="F47" s="46"/>
      <c r="G47" s="46"/>
      <c r="H47" s="46"/>
      <c r="I47" s="205" t="s">
        <v>116</v>
      </c>
      <c r="J47" s="208">
        <f t="shared" ref="J47:P47" si="17">J46</f>
        <v>0</v>
      </c>
      <c r="K47" s="208">
        <f t="shared" si="17"/>
        <v>9993.2199999999993</v>
      </c>
      <c r="L47" s="208">
        <f t="shared" si="17"/>
        <v>22619.38</v>
      </c>
      <c r="M47" s="208">
        <f t="shared" si="17"/>
        <v>36614.74</v>
      </c>
      <c r="N47" s="208">
        <f t="shared" si="17"/>
        <v>3590.69</v>
      </c>
      <c r="O47" s="208">
        <f t="shared" si="17"/>
        <v>2812.36</v>
      </c>
      <c r="P47" s="208">
        <f t="shared" si="17"/>
        <v>14349.48</v>
      </c>
    </row>
    <row r="48" spans="1:16">
      <c r="A48" s="80">
        <f t="shared" si="2"/>
        <v>48</v>
      </c>
      <c r="B48" s="82" t="str">
        <f t="shared" si="3"/>
        <v xml:space="preserve">   Equity</v>
      </c>
      <c r="C48" s="46"/>
      <c r="D48" s="46"/>
      <c r="E48" s="46"/>
      <c r="F48" s="46"/>
      <c r="G48" s="46"/>
      <c r="H48" s="46"/>
      <c r="I48" s="205" t="s">
        <v>117</v>
      </c>
      <c r="J48" s="206"/>
      <c r="K48" s="206"/>
      <c r="L48" s="206"/>
      <c r="M48" s="206"/>
      <c r="N48" s="206"/>
      <c r="O48" s="206"/>
      <c r="P48" s="206"/>
    </row>
    <row r="49" spans="1:16">
      <c r="A49" s="80">
        <f t="shared" si="2"/>
        <v>49</v>
      </c>
      <c r="B49" s="82" t="str">
        <f t="shared" si="3"/>
        <v xml:space="preserve">      3000 Unrestricted Net Assets</v>
      </c>
      <c r="C49" s="46"/>
      <c r="D49" s="46"/>
      <c r="E49" s="46"/>
      <c r="F49" s="46"/>
      <c r="G49" s="46"/>
      <c r="H49" s="46"/>
      <c r="I49" s="205" t="s">
        <v>39</v>
      </c>
      <c r="J49" s="207">
        <f>93558.04</f>
        <v>93558.04</v>
      </c>
      <c r="K49" s="207">
        <f t="shared" ref="K49:P49" si="18">(J49)+(J50)</f>
        <v>93558.04</v>
      </c>
      <c r="L49" s="207">
        <f t="shared" si="18"/>
        <v>190637.78</v>
      </c>
      <c r="M49" s="207">
        <f t="shared" si="18"/>
        <v>456267.78</v>
      </c>
      <c r="N49" s="207">
        <f t="shared" si="18"/>
        <v>395711.58</v>
      </c>
      <c r="O49" s="207">
        <f t="shared" si="18"/>
        <v>233122.49000000002</v>
      </c>
      <c r="P49" s="207">
        <f t="shared" si="18"/>
        <v>58241.120000000024</v>
      </c>
    </row>
    <row r="50" spans="1:16">
      <c r="A50" s="80">
        <f t="shared" si="2"/>
        <v>50</v>
      </c>
      <c r="B50" s="82" t="str">
        <f t="shared" si="3"/>
        <v xml:space="preserve">      Net Revenue</v>
      </c>
      <c r="C50" s="46"/>
      <c r="D50" s="46"/>
      <c r="E50" s="46"/>
      <c r="F50" s="46"/>
      <c r="G50" s="46"/>
      <c r="H50" s="46"/>
      <c r="I50" s="205" t="s">
        <v>118</v>
      </c>
      <c r="J50" s="206"/>
      <c r="K50" s="207">
        <f>97079.74</f>
        <v>97079.74</v>
      </c>
      <c r="L50" s="207">
        <f>265630</f>
        <v>265630</v>
      </c>
      <c r="M50" s="207">
        <f>-60556.2</f>
        <v>-60556.2</v>
      </c>
      <c r="N50" s="207">
        <f>-162589.09</f>
        <v>-162589.09</v>
      </c>
      <c r="O50" s="207">
        <f>-174881.37</f>
        <v>-174881.37</v>
      </c>
      <c r="P50" s="207">
        <f>61540.97</f>
        <v>61540.97</v>
      </c>
    </row>
    <row r="51" spans="1:16">
      <c r="A51" s="80">
        <f t="shared" si="2"/>
        <v>51</v>
      </c>
      <c r="B51" s="82" t="str">
        <f t="shared" si="3"/>
        <v xml:space="preserve">   Total Equity</v>
      </c>
      <c r="C51" s="46"/>
      <c r="D51" s="46"/>
      <c r="E51" s="46"/>
      <c r="F51" s="46"/>
      <c r="G51" s="46"/>
      <c r="H51" s="46"/>
      <c r="I51" s="205" t="s">
        <v>40</v>
      </c>
      <c r="J51" s="208">
        <f t="shared" ref="J51:P51" si="19">(J49)+(J50)</f>
        <v>93558.04</v>
      </c>
      <c r="K51" s="208">
        <f t="shared" si="19"/>
        <v>190637.78</v>
      </c>
      <c r="L51" s="208">
        <f t="shared" si="19"/>
        <v>456267.78</v>
      </c>
      <c r="M51" s="208">
        <f t="shared" si="19"/>
        <v>395711.58</v>
      </c>
      <c r="N51" s="208">
        <f t="shared" si="19"/>
        <v>233122.49000000002</v>
      </c>
      <c r="O51" s="208">
        <f t="shared" si="19"/>
        <v>58241.120000000024</v>
      </c>
      <c r="P51" s="208">
        <f t="shared" si="19"/>
        <v>119782.09000000003</v>
      </c>
    </row>
    <row r="52" spans="1:16" s="25" customFormat="1">
      <c r="A52" s="80">
        <f t="shared" si="2"/>
        <v>52</v>
      </c>
      <c r="B52" s="82" t="str">
        <f t="shared" si="3"/>
        <v>TOTAL LIABILITIES AND EQUITY</v>
      </c>
      <c r="C52" s="46"/>
      <c r="D52" s="46"/>
      <c r="E52" s="46"/>
      <c r="F52" s="46"/>
      <c r="G52" s="46"/>
      <c r="H52" s="46"/>
      <c r="I52" s="205" t="s">
        <v>119</v>
      </c>
      <c r="J52" s="208">
        <f t="shared" ref="J52:P52" si="20">(J47)+(J51)</f>
        <v>93558.04</v>
      </c>
      <c r="K52" s="208">
        <f t="shared" si="20"/>
        <v>200631</v>
      </c>
      <c r="L52" s="208">
        <f t="shared" si="20"/>
        <v>478887.16000000003</v>
      </c>
      <c r="M52" s="208">
        <f t="shared" si="20"/>
        <v>432326.32</v>
      </c>
      <c r="N52" s="208">
        <f t="shared" si="20"/>
        <v>236713.18000000002</v>
      </c>
      <c r="O52" s="208">
        <f t="shared" si="20"/>
        <v>61053.480000000025</v>
      </c>
      <c r="P52" s="208">
        <f t="shared" si="20"/>
        <v>134131.57000000004</v>
      </c>
    </row>
    <row r="53" spans="1:16">
      <c r="A53" s="80">
        <f t="shared" si="2"/>
        <v>53</v>
      </c>
      <c r="B53" s="82" t="str">
        <f t="shared" si="3"/>
        <v/>
      </c>
      <c r="C53" s="46"/>
      <c r="D53" s="46"/>
      <c r="E53" s="46"/>
      <c r="F53" s="46"/>
      <c r="G53" s="46"/>
      <c r="H53" s="46"/>
      <c r="I53" s="123"/>
      <c r="J53" s="24"/>
    </row>
    <row r="54" spans="1:16">
      <c r="A54" s="80">
        <f t="shared" si="2"/>
        <v>54</v>
      </c>
      <c r="B54" s="82" t="str">
        <f t="shared" si="3"/>
        <v/>
      </c>
      <c r="C54" s="46"/>
      <c r="D54" s="46"/>
      <c r="E54" s="46"/>
      <c r="F54" s="46"/>
      <c r="G54" s="46"/>
      <c r="H54" s="46"/>
      <c r="I54" s="124"/>
      <c r="J54" s="24"/>
    </row>
    <row r="55" spans="1:16">
      <c r="A55" s="80">
        <f t="shared" si="2"/>
        <v>55</v>
      </c>
      <c r="B55" s="82" t="str">
        <f t="shared" si="3"/>
        <v/>
      </c>
      <c r="C55" s="46"/>
      <c r="D55" s="46"/>
      <c r="E55" s="46"/>
      <c r="F55" s="46"/>
      <c r="G55" s="46"/>
      <c r="H55" s="46"/>
      <c r="I55" s="125"/>
      <c r="J55" s="24"/>
    </row>
    <row r="56" spans="1:16">
      <c r="A56" s="80">
        <f t="shared" si="2"/>
        <v>56</v>
      </c>
      <c r="B56" s="82" t="str">
        <f t="shared" si="3"/>
        <v/>
      </c>
      <c r="C56" s="46"/>
      <c r="D56" s="46"/>
      <c r="E56" s="46"/>
      <c r="F56" s="46"/>
      <c r="G56" s="46"/>
      <c r="H56" s="46"/>
      <c r="I56" s="125"/>
      <c r="J56" s="24"/>
    </row>
    <row r="57" spans="1:16">
      <c r="A57" s="80">
        <f t="shared" si="2"/>
        <v>57</v>
      </c>
      <c r="B57" s="82" t="str">
        <f t="shared" si="3"/>
        <v/>
      </c>
      <c r="C57" s="46"/>
      <c r="D57" s="46"/>
      <c r="E57" s="46"/>
      <c r="F57" s="46"/>
      <c r="G57" s="46"/>
      <c r="H57" s="46"/>
      <c r="I57" s="125"/>
      <c r="J57" s="24"/>
    </row>
    <row r="58" spans="1:16">
      <c r="A58" s="80">
        <f t="shared" si="2"/>
        <v>58</v>
      </c>
      <c r="B58" s="82" t="str">
        <f t="shared" si="3"/>
        <v/>
      </c>
      <c r="C58" s="46"/>
      <c r="D58" s="46"/>
      <c r="E58" s="46"/>
      <c r="F58" s="46"/>
      <c r="G58" s="46"/>
      <c r="H58" s="46"/>
      <c r="I58" s="24"/>
      <c r="J58" s="24"/>
    </row>
    <row r="59" spans="1:16">
      <c r="A59" s="80">
        <f t="shared" si="2"/>
        <v>59</v>
      </c>
      <c r="B59" s="82" t="str">
        <f t="shared" si="3"/>
        <v/>
      </c>
      <c r="C59" s="46"/>
      <c r="D59" s="46"/>
      <c r="E59" s="46"/>
      <c r="F59" s="46"/>
      <c r="G59" s="46"/>
      <c r="H59" s="46"/>
      <c r="I59" s="24"/>
      <c r="J59" s="24"/>
    </row>
    <row r="60" spans="1:16">
      <c r="A60" s="80">
        <f t="shared" si="2"/>
        <v>60</v>
      </c>
      <c r="B60" s="82" t="str">
        <f t="shared" si="3"/>
        <v/>
      </c>
      <c r="C60" s="46"/>
      <c r="D60" s="46"/>
      <c r="E60" s="46"/>
      <c r="F60" s="46"/>
      <c r="G60" s="46"/>
      <c r="H60" s="46"/>
      <c r="I60" s="24"/>
      <c r="J60" s="24"/>
    </row>
    <row r="61" spans="1:16">
      <c r="A61" s="80">
        <f t="shared" ref="A61:A100" si="21">A60+1</f>
        <v>61</v>
      </c>
      <c r="B61" s="82" t="str">
        <f t="shared" si="3"/>
        <v/>
      </c>
      <c r="C61" s="46"/>
      <c r="D61" s="46"/>
      <c r="E61" s="46"/>
      <c r="F61" s="46"/>
      <c r="G61" s="46"/>
      <c r="H61" s="46"/>
      <c r="I61" s="99"/>
      <c r="J61" s="100"/>
      <c r="K61" s="100"/>
      <c r="L61" s="100"/>
      <c r="M61" s="100"/>
      <c r="N61" s="100"/>
    </row>
    <row r="62" spans="1:16" ht="14.25">
      <c r="A62" s="80">
        <f t="shared" si="21"/>
        <v>62</v>
      </c>
      <c r="B62" s="82" t="str">
        <f t="shared" si="3"/>
        <v/>
      </c>
      <c r="C62" s="46"/>
      <c r="D62" s="46"/>
      <c r="E62" s="46"/>
      <c r="F62" s="46"/>
      <c r="G62" s="46"/>
      <c r="H62" s="46"/>
      <c r="I62"/>
      <c r="J62"/>
      <c r="K62"/>
      <c r="L62"/>
      <c r="M62"/>
      <c r="N62" s="55"/>
    </row>
    <row r="63" spans="1:16" ht="14.25">
      <c r="A63" s="80">
        <f t="shared" si="21"/>
        <v>63</v>
      </c>
      <c r="B63" s="82" t="str">
        <f t="shared" ref="B63:B100" si="22">C63&amp;D63&amp;E63&amp;F63&amp;G63&amp;H63&amp;I63</f>
        <v/>
      </c>
      <c r="C63" s="46"/>
      <c r="D63" s="46"/>
      <c r="E63" s="46"/>
      <c r="F63" s="46"/>
      <c r="G63" s="46"/>
      <c r="H63" s="46"/>
      <c r="I63"/>
      <c r="J63"/>
      <c r="K63"/>
      <c r="L63"/>
      <c r="M63"/>
      <c r="N63" s="55"/>
    </row>
    <row r="64" spans="1:16">
      <c r="A64" s="80">
        <f t="shared" si="21"/>
        <v>64</v>
      </c>
      <c r="B64" s="82" t="str">
        <f t="shared" si="22"/>
        <v/>
      </c>
      <c r="C64" s="46"/>
      <c r="D64" s="46"/>
      <c r="E64" s="46"/>
      <c r="F64" s="46"/>
      <c r="G64" s="46"/>
      <c r="H64" s="46"/>
      <c r="I64" s="46"/>
      <c r="J64" s="47"/>
      <c r="K64" s="55"/>
      <c r="L64" s="55"/>
      <c r="M64" s="55"/>
      <c r="N64" s="55"/>
    </row>
    <row r="65" spans="1:14">
      <c r="A65" s="80">
        <f t="shared" si="21"/>
        <v>65</v>
      </c>
      <c r="B65" s="82" t="str">
        <f t="shared" si="22"/>
        <v/>
      </c>
      <c r="C65" s="46"/>
      <c r="D65" s="46"/>
      <c r="E65" s="46"/>
      <c r="F65" s="46"/>
      <c r="G65" s="46"/>
      <c r="H65" s="46"/>
      <c r="I65" s="46"/>
      <c r="J65" s="47"/>
      <c r="K65" s="55"/>
      <c r="L65" s="55"/>
      <c r="M65" s="55"/>
      <c r="N65" s="55"/>
    </row>
    <row r="66" spans="1:14">
      <c r="A66" s="80">
        <f t="shared" si="21"/>
        <v>66</v>
      </c>
      <c r="B66" s="82" t="str">
        <f t="shared" si="22"/>
        <v/>
      </c>
      <c r="C66" s="46"/>
      <c r="D66" s="46"/>
      <c r="E66" s="46"/>
      <c r="F66" s="46"/>
      <c r="G66" s="46"/>
      <c r="H66" s="46"/>
      <c r="I66" s="46"/>
      <c r="J66" s="47"/>
      <c r="K66" s="55"/>
      <c r="L66" s="55"/>
      <c r="M66" s="55"/>
      <c r="N66" s="55"/>
    </row>
    <row r="67" spans="1:14">
      <c r="A67" s="80">
        <f t="shared" si="21"/>
        <v>67</v>
      </c>
      <c r="B67" s="82" t="str">
        <f t="shared" si="22"/>
        <v/>
      </c>
      <c r="C67" s="46"/>
      <c r="D67" s="46"/>
      <c r="E67" s="46"/>
      <c r="F67" s="46"/>
      <c r="G67" s="46"/>
      <c r="H67" s="46"/>
      <c r="I67" s="46"/>
      <c r="J67" s="47"/>
      <c r="K67" s="55"/>
      <c r="L67" s="55"/>
      <c r="M67" s="55"/>
      <c r="N67" s="55"/>
    </row>
    <row r="68" spans="1:14">
      <c r="A68" s="80">
        <f t="shared" si="21"/>
        <v>68</v>
      </c>
      <c r="B68" s="82" t="str">
        <f t="shared" si="22"/>
        <v/>
      </c>
      <c r="C68" s="46"/>
      <c r="D68" s="46"/>
      <c r="E68" s="46"/>
      <c r="F68" s="46"/>
      <c r="G68" s="46"/>
      <c r="H68" s="46"/>
      <c r="I68" s="46"/>
      <c r="J68" s="47"/>
      <c r="K68" s="55"/>
      <c r="L68" s="55"/>
      <c r="M68" s="55"/>
      <c r="N68" s="55"/>
    </row>
    <row r="69" spans="1:14">
      <c r="A69" s="80">
        <f t="shared" si="21"/>
        <v>69</v>
      </c>
      <c r="B69" s="82" t="str">
        <f t="shared" si="22"/>
        <v/>
      </c>
      <c r="C69" s="46"/>
      <c r="D69" s="46"/>
      <c r="E69" s="46"/>
      <c r="F69" s="46"/>
      <c r="G69" s="46"/>
      <c r="H69" s="46"/>
      <c r="I69" s="46"/>
      <c r="J69" s="47"/>
      <c r="K69" s="55"/>
      <c r="L69" s="55"/>
      <c r="M69" s="55"/>
      <c r="N69" s="55"/>
    </row>
    <row r="70" spans="1:14">
      <c r="A70" s="80">
        <f t="shared" si="21"/>
        <v>70</v>
      </c>
      <c r="B70" s="82" t="str">
        <f t="shared" si="22"/>
        <v/>
      </c>
      <c r="C70" s="46"/>
      <c r="D70" s="46"/>
      <c r="E70" s="46"/>
      <c r="F70" s="46"/>
      <c r="G70" s="46"/>
      <c r="H70" s="46"/>
      <c r="I70" s="46"/>
      <c r="J70" s="47"/>
      <c r="K70" s="55"/>
      <c r="L70" s="55"/>
      <c r="M70" s="55"/>
      <c r="N70" s="55"/>
    </row>
    <row r="71" spans="1:14">
      <c r="A71" s="80">
        <f t="shared" si="21"/>
        <v>71</v>
      </c>
      <c r="B71" s="82" t="str">
        <f t="shared" si="22"/>
        <v/>
      </c>
      <c r="C71" s="46"/>
      <c r="D71" s="46"/>
      <c r="E71" s="46"/>
      <c r="F71" s="46"/>
      <c r="G71" s="46"/>
      <c r="H71" s="46"/>
      <c r="I71" s="46"/>
      <c r="J71" s="47"/>
      <c r="K71" s="55"/>
      <c r="L71" s="55"/>
      <c r="M71" s="55"/>
      <c r="N71" s="55"/>
    </row>
    <row r="72" spans="1:14">
      <c r="A72" s="80">
        <f t="shared" si="21"/>
        <v>72</v>
      </c>
      <c r="B72" s="82" t="str">
        <f t="shared" si="22"/>
        <v/>
      </c>
      <c r="C72" s="46"/>
      <c r="D72" s="46"/>
      <c r="E72" s="46"/>
      <c r="F72" s="46"/>
      <c r="G72" s="46"/>
      <c r="H72" s="46"/>
      <c r="I72" s="46"/>
      <c r="J72" s="47"/>
      <c r="K72" s="55"/>
      <c r="L72" s="55"/>
      <c r="M72" s="55"/>
      <c r="N72" s="55"/>
    </row>
    <row r="73" spans="1:14">
      <c r="A73" s="80">
        <f t="shared" si="21"/>
        <v>73</v>
      </c>
      <c r="B73" s="82" t="str">
        <f t="shared" si="22"/>
        <v/>
      </c>
      <c r="C73" s="46"/>
      <c r="D73" s="46"/>
      <c r="E73" s="46"/>
      <c r="F73" s="46"/>
      <c r="G73" s="46"/>
      <c r="H73" s="46"/>
      <c r="I73" s="46"/>
      <c r="J73" s="47"/>
      <c r="K73" s="55"/>
      <c r="L73" s="55"/>
      <c r="M73" s="55"/>
      <c r="N73" s="55"/>
    </row>
    <row r="74" spans="1:14">
      <c r="A74" s="80">
        <f t="shared" si="21"/>
        <v>74</v>
      </c>
      <c r="B74" s="82" t="str">
        <f t="shared" si="22"/>
        <v/>
      </c>
      <c r="C74" s="46"/>
      <c r="D74" s="46"/>
      <c r="E74" s="46"/>
      <c r="F74" s="46"/>
      <c r="G74" s="46"/>
      <c r="H74" s="46"/>
      <c r="I74" s="46"/>
      <c r="J74" s="47"/>
      <c r="K74" s="55"/>
      <c r="L74" s="55"/>
      <c r="M74" s="55"/>
      <c r="N74" s="55"/>
    </row>
    <row r="75" spans="1:14">
      <c r="A75" s="80">
        <f t="shared" si="21"/>
        <v>75</v>
      </c>
      <c r="B75" s="82" t="str">
        <f t="shared" si="22"/>
        <v/>
      </c>
      <c r="C75" s="46"/>
      <c r="D75" s="46"/>
      <c r="E75" s="46"/>
      <c r="F75" s="46"/>
      <c r="G75" s="46"/>
      <c r="H75" s="46"/>
      <c r="I75" s="46"/>
      <c r="J75" s="47"/>
      <c r="K75" s="55"/>
      <c r="L75" s="55"/>
      <c r="M75" s="55"/>
      <c r="N75" s="55"/>
    </row>
    <row r="76" spans="1:14">
      <c r="A76" s="80">
        <f t="shared" si="21"/>
        <v>76</v>
      </c>
      <c r="B76" s="82" t="str">
        <f t="shared" si="22"/>
        <v/>
      </c>
      <c r="C76" s="46"/>
      <c r="D76" s="46"/>
      <c r="E76" s="46"/>
      <c r="F76" s="46"/>
      <c r="G76" s="46"/>
      <c r="H76" s="46"/>
      <c r="I76" s="46"/>
      <c r="J76" s="47"/>
      <c r="K76" s="55"/>
      <c r="L76" s="55"/>
      <c r="M76" s="55"/>
      <c r="N76" s="55"/>
    </row>
    <row r="77" spans="1:14">
      <c r="A77" s="80">
        <f t="shared" si="21"/>
        <v>77</v>
      </c>
      <c r="B77" s="82" t="str">
        <f t="shared" si="22"/>
        <v/>
      </c>
      <c r="C77" s="46"/>
      <c r="D77" s="46"/>
      <c r="E77" s="46"/>
      <c r="F77" s="46"/>
      <c r="G77" s="46"/>
      <c r="H77" s="46"/>
      <c r="I77" s="46"/>
      <c r="J77" s="47"/>
      <c r="K77" s="55"/>
      <c r="L77" s="55"/>
      <c r="M77" s="55"/>
      <c r="N77" s="55"/>
    </row>
    <row r="78" spans="1:14" s="25" customFormat="1">
      <c r="A78" s="80">
        <f t="shared" si="21"/>
        <v>78</v>
      </c>
      <c r="B78" s="82" t="str">
        <f t="shared" si="22"/>
        <v/>
      </c>
      <c r="C78" s="46"/>
      <c r="D78" s="46"/>
      <c r="E78" s="46"/>
      <c r="F78" s="46"/>
      <c r="G78" s="46"/>
      <c r="H78" s="46"/>
      <c r="I78" s="46"/>
      <c r="J78" s="47"/>
      <c r="K78" s="56"/>
      <c r="L78" s="56"/>
      <c r="M78" s="56"/>
      <c r="N78" s="56"/>
    </row>
    <row r="79" spans="1:14">
      <c r="A79" s="80">
        <f t="shared" si="21"/>
        <v>79</v>
      </c>
      <c r="B79" s="82" t="str">
        <f t="shared" si="22"/>
        <v/>
      </c>
      <c r="C79" s="51"/>
      <c r="D79" s="51"/>
      <c r="E79" s="51"/>
      <c r="F79" s="51"/>
      <c r="G79" s="51"/>
      <c r="H79" s="51"/>
      <c r="I79" s="46"/>
      <c r="J79" s="47"/>
      <c r="K79" s="55"/>
      <c r="L79" s="55"/>
      <c r="M79" s="55"/>
      <c r="N79" s="55"/>
    </row>
    <row r="80" spans="1:14">
      <c r="A80" s="80">
        <f t="shared" si="21"/>
        <v>80</v>
      </c>
      <c r="B80" s="82" t="str">
        <f t="shared" si="22"/>
        <v/>
      </c>
      <c r="C80" s="51"/>
      <c r="D80" s="51"/>
      <c r="E80" s="51"/>
      <c r="F80" s="51"/>
      <c r="G80" s="51"/>
      <c r="H80" s="51"/>
      <c r="I80" s="46"/>
      <c r="J80" s="47"/>
      <c r="K80" s="55"/>
      <c r="L80" s="55"/>
      <c r="M80" s="55"/>
      <c r="N80" s="55"/>
    </row>
    <row r="81" spans="1:14">
      <c r="A81" s="80">
        <f t="shared" si="21"/>
        <v>81</v>
      </c>
      <c r="B81" s="82" t="str">
        <f t="shared" si="22"/>
        <v/>
      </c>
      <c r="C81" s="51"/>
      <c r="D81" s="51"/>
      <c r="E81" s="51"/>
      <c r="F81" s="51"/>
      <c r="G81" s="51"/>
      <c r="H81" s="51"/>
      <c r="I81" s="46"/>
      <c r="J81" s="47"/>
      <c r="K81" s="55"/>
      <c r="L81" s="55"/>
      <c r="M81" s="55"/>
      <c r="N81" s="55"/>
    </row>
    <row r="82" spans="1:14">
      <c r="A82" s="80">
        <f t="shared" si="21"/>
        <v>82</v>
      </c>
      <c r="B82" s="82" t="str">
        <f t="shared" si="22"/>
        <v/>
      </c>
      <c r="C82" s="51"/>
      <c r="D82" s="51"/>
      <c r="E82" s="51"/>
      <c r="F82" s="51"/>
      <c r="G82" s="51"/>
      <c r="H82" s="51"/>
      <c r="I82" s="46"/>
      <c r="J82" s="47"/>
      <c r="K82" s="55"/>
      <c r="L82" s="55"/>
      <c r="M82" s="55"/>
      <c r="N82" s="55"/>
    </row>
    <row r="83" spans="1:14">
      <c r="A83" s="80">
        <f t="shared" si="21"/>
        <v>83</v>
      </c>
      <c r="B83" s="82" t="str">
        <f t="shared" si="22"/>
        <v/>
      </c>
      <c r="C83" s="51"/>
      <c r="D83" s="51"/>
      <c r="E83" s="51"/>
      <c r="F83" s="51"/>
      <c r="G83" s="51"/>
      <c r="H83" s="51"/>
      <c r="I83" s="46"/>
      <c r="J83" s="47"/>
      <c r="K83" s="55"/>
      <c r="L83" s="55"/>
      <c r="M83" s="55"/>
      <c r="N83" s="55"/>
    </row>
    <row r="84" spans="1:14">
      <c r="A84" s="80">
        <f t="shared" si="21"/>
        <v>84</v>
      </c>
      <c r="B84" s="82" t="str">
        <f t="shared" si="22"/>
        <v/>
      </c>
      <c r="C84" s="51"/>
      <c r="D84" s="51"/>
      <c r="E84" s="51"/>
      <c r="F84" s="51"/>
      <c r="G84" s="51"/>
      <c r="H84" s="51"/>
      <c r="I84" s="46"/>
      <c r="J84" s="47"/>
      <c r="K84" s="55"/>
      <c r="L84" s="55"/>
      <c r="M84" s="55"/>
      <c r="N84" s="55"/>
    </row>
    <row r="85" spans="1:14">
      <c r="A85" s="80">
        <f t="shared" si="21"/>
        <v>85</v>
      </c>
      <c r="B85" s="82" t="str">
        <f t="shared" si="22"/>
        <v/>
      </c>
      <c r="C85" s="51"/>
      <c r="D85" s="51"/>
      <c r="E85" s="51"/>
      <c r="F85" s="51"/>
      <c r="G85" s="51"/>
      <c r="H85" s="51"/>
      <c r="I85" s="46"/>
      <c r="J85" s="49"/>
      <c r="K85" s="55"/>
      <c r="L85" s="55"/>
      <c r="M85" s="55"/>
      <c r="N85" s="55"/>
    </row>
    <row r="86" spans="1:14">
      <c r="A86" s="80">
        <f t="shared" si="21"/>
        <v>86</v>
      </c>
      <c r="B86" s="82" t="str">
        <f t="shared" si="22"/>
        <v/>
      </c>
      <c r="C86" s="51"/>
      <c r="D86" s="51"/>
      <c r="E86" s="51"/>
      <c r="F86" s="51"/>
      <c r="G86" s="51"/>
      <c r="H86" s="51"/>
      <c r="I86" s="57"/>
      <c r="J86" s="58"/>
      <c r="K86" s="55"/>
      <c r="L86" s="55"/>
      <c r="M86" s="55"/>
      <c r="N86" s="55"/>
    </row>
    <row r="87" spans="1:14">
      <c r="A87" s="80">
        <f t="shared" si="21"/>
        <v>87</v>
      </c>
      <c r="B87" s="82" t="str">
        <f t="shared" si="22"/>
        <v/>
      </c>
      <c r="C87" s="21"/>
      <c r="D87" s="21"/>
      <c r="E87" s="21"/>
      <c r="F87" s="21"/>
      <c r="G87" s="21"/>
      <c r="H87" s="21"/>
      <c r="I87" s="57"/>
      <c r="J87" s="58"/>
    </row>
    <row r="88" spans="1:14">
      <c r="A88" s="80">
        <f t="shared" si="21"/>
        <v>88</v>
      </c>
      <c r="B88" s="82" t="str">
        <f t="shared" si="22"/>
        <v/>
      </c>
      <c r="C88" s="21"/>
      <c r="D88" s="21"/>
      <c r="E88" s="21"/>
      <c r="F88" s="21"/>
      <c r="G88" s="21"/>
      <c r="H88" s="21"/>
      <c r="I88" s="57"/>
      <c r="J88" s="58"/>
    </row>
    <row r="89" spans="1:14">
      <c r="A89" s="80">
        <f t="shared" si="21"/>
        <v>89</v>
      </c>
      <c r="B89" s="82" t="str">
        <f t="shared" si="22"/>
        <v/>
      </c>
      <c r="C89" s="21"/>
      <c r="D89" s="21"/>
      <c r="E89" s="21"/>
      <c r="F89" s="21"/>
      <c r="G89" s="21"/>
      <c r="H89" s="21"/>
      <c r="I89" s="57"/>
      <c r="J89" s="58"/>
    </row>
    <row r="90" spans="1:14">
      <c r="A90" s="80">
        <f t="shared" si="21"/>
        <v>90</v>
      </c>
      <c r="B90" s="82" t="str">
        <f t="shared" si="22"/>
        <v/>
      </c>
      <c r="C90" s="21"/>
      <c r="D90" s="21"/>
      <c r="E90" s="21"/>
      <c r="F90" s="21"/>
      <c r="G90" s="21"/>
      <c r="H90" s="21"/>
      <c r="I90" s="57"/>
      <c r="J90" s="58"/>
    </row>
    <row r="91" spans="1:14">
      <c r="A91" s="80">
        <f t="shared" si="21"/>
        <v>91</v>
      </c>
      <c r="B91" s="82" t="str">
        <f t="shared" si="22"/>
        <v/>
      </c>
      <c r="C91" s="21"/>
      <c r="D91" s="21"/>
      <c r="E91" s="21"/>
      <c r="F91" s="21"/>
      <c r="G91" s="21"/>
      <c r="H91" s="21"/>
      <c r="I91" s="57"/>
      <c r="J91" s="58"/>
    </row>
    <row r="92" spans="1:14">
      <c r="A92" s="80">
        <f t="shared" si="21"/>
        <v>92</v>
      </c>
      <c r="B92" s="82" t="str">
        <f t="shared" si="22"/>
        <v/>
      </c>
      <c r="C92" s="21"/>
      <c r="D92" s="21"/>
      <c r="E92" s="21"/>
      <c r="F92" s="21"/>
      <c r="G92" s="21"/>
      <c r="H92" s="21"/>
      <c r="I92" s="57"/>
      <c r="J92" s="58"/>
    </row>
    <row r="93" spans="1:14">
      <c r="A93" s="80">
        <f t="shared" si="21"/>
        <v>93</v>
      </c>
      <c r="B93" s="82" t="str">
        <f t="shared" si="22"/>
        <v/>
      </c>
      <c r="C93" s="21"/>
      <c r="D93" s="21"/>
      <c r="E93" s="21"/>
      <c r="F93" s="21"/>
      <c r="G93" s="21"/>
      <c r="H93" s="21"/>
      <c r="I93" s="57"/>
      <c r="J93" s="58"/>
    </row>
    <row r="94" spans="1:14">
      <c r="A94" s="80">
        <f t="shared" si="21"/>
        <v>94</v>
      </c>
      <c r="B94" s="82" t="str">
        <f t="shared" si="22"/>
        <v/>
      </c>
      <c r="C94" s="21"/>
      <c r="D94" s="21"/>
      <c r="E94" s="21"/>
      <c r="F94" s="21"/>
      <c r="G94" s="21"/>
      <c r="H94" s="21"/>
    </row>
    <row r="95" spans="1:14">
      <c r="A95" s="80">
        <f t="shared" si="21"/>
        <v>95</v>
      </c>
      <c r="B95" s="82" t="str">
        <f t="shared" si="22"/>
        <v/>
      </c>
      <c r="C95" s="21"/>
      <c r="D95" s="21"/>
      <c r="E95" s="21"/>
      <c r="F95" s="21"/>
      <c r="G95" s="21"/>
      <c r="H95" s="21"/>
    </row>
    <row r="96" spans="1:14">
      <c r="A96" s="80">
        <f t="shared" si="21"/>
        <v>96</v>
      </c>
      <c r="B96" s="82" t="str">
        <f t="shared" si="22"/>
        <v/>
      </c>
      <c r="C96" s="21"/>
      <c r="D96" s="21"/>
      <c r="E96" s="21"/>
      <c r="F96" s="21"/>
      <c r="G96" s="21"/>
      <c r="H96" s="21"/>
    </row>
    <row r="97" spans="1:8">
      <c r="A97" s="80">
        <f t="shared" si="21"/>
        <v>97</v>
      </c>
      <c r="B97" s="82" t="str">
        <f t="shared" si="22"/>
        <v/>
      </c>
      <c r="C97" s="21"/>
      <c r="D97" s="21"/>
      <c r="E97" s="21"/>
      <c r="F97" s="21"/>
      <c r="G97" s="21"/>
      <c r="H97" s="21"/>
    </row>
    <row r="98" spans="1:8">
      <c r="A98" s="80">
        <f t="shared" si="21"/>
        <v>98</v>
      </c>
      <c r="B98" s="82" t="str">
        <f t="shared" si="22"/>
        <v/>
      </c>
      <c r="C98" s="21"/>
      <c r="D98" s="21"/>
      <c r="E98" s="21"/>
      <c r="F98" s="21"/>
      <c r="G98" s="21"/>
      <c r="H98" s="21"/>
    </row>
    <row r="99" spans="1:8">
      <c r="A99" s="80">
        <f t="shared" si="21"/>
        <v>99</v>
      </c>
      <c r="B99" s="82" t="str">
        <f t="shared" si="22"/>
        <v/>
      </c>
      <c r="C99" s="21"/>
      <c r="D99" s="21"/>
      <c r="E99" s="21"/>
      <c r="F99" s="21"/>
      <c r="G99" s="21"/>
      <c r="H99" s="21"/>
    </row>
    <row r="100" spans="1:8">
      <c r="A100" s="80">
        <f t="shared" si="21"/>
        <v>100</v>
      </c>
      <c r="B100" s="82" t="str">
        <f t="shared" si="22"/>
        <v/>
      </c>
      <c r="C100" s="21"/>
      <c r="D100" s="21"/>
      <c r="E100" s="21"/>
      <c r="F100" s="21"/>
      <c r="G100" s="21"/>
      <c r="H100" s="21"/>
    </row>
    <row r="101" spans="1:8">
      <c r="C101" s="21"/>
      <c r="D101" s="21"/>
      <c r="E101" s="21"/>
      <c r="F101" s="21"/>
      <c r="G101" s="21"/>
      <c r="H101" s="21"/>
    </row>
    <row r="102" spans="1:8">
      <c r="C102" s="21"/>
      <c r="D102" s="21"/>
      <c r="E102" s="21"/>
      <c r="F102" s="21"/>
      <c r="G102" s="21"/>
      <c r="H102" s="21"/>
    </row>
    <row r="103" spans="1:8">
      <c r="C103" s="21"/>
      <c r="D103" s="21"/>
      <c r="E103" s="21"/>
      <c r="F103" s="21"/>
      <c r="G103" s="21"/>
      <c r="H103" s="21"/>
    </row>
    <row r="104" spans="1:8">
      <c r="C104" s="21"/>
      <c r="D104" s="21"/>
      <c r="E104" s="21"/>
      <c r="F104" s="21"/>
      <c r="G104" s="21"/>
      <c r="H104" s="21"/>
    </row>
    <row r="105" spans="1:8">
      <c r="C105" s="21"/>
      <c r="D105" s="21"/>
      <c r="E105" s="21"/>
      <c r="F105" s="21"/>
      <c r="G105" s="21"/>
      <c r="H105" s="21"/>
    </row>
    <row r="106" spans="1:8">
      <c r="C106" s="21"/>
      <c r="D106" s="21"/>
      <c r="E106" s="21"/>
      <c r="F106" s="21"/>
      <c r="G106" s="21"/>
      <c r="H106" s="21"/>
    </row>
    <row r="107" spans="1:8">
      <c r="C107" s="21"/>
      <c r="D107" s="21"/>
      <c r="E107" s="21"/>
      <c r="F107" s="21"/>
      <c r="G107" s="21"/>
      <c r="H107" s="21"/>
    </row>
    <row r="108" spans="1:8">
      <c r="C108" s="21"/>
      <c r="D108" s="21"/>
      <c r="E108" s="21"/>
      <c r="F108" s="21"/>
      <c r="G108" s="21"/>
      <c r="H108" s="21"/>
    </row>
    <row r="109" spans="1:8">
      <c r="C109" s="21"/>
      <c r="D109" s="21"/>
      <c r="E109" s="21"/>
      <c r="F109" s="21"/>
      <c r="G109" s="21"/>
      <c r="H109" s="21"/>
    </row>
    <row r="110" spans="1:8">
      <c r="C110" s="21"/>
      <c r="D110" s="21"/>
      <c r="E110" s="21"/>
      <c r="F110" s="21"/>
      <c r="G110" s="21"/>
      <c r="H110" s="21"/>
    </row>
    <row r="111" spans="1:8">
      <c r="C111" s="21"/>
      <c r="D111" s="21"/>
      <c r="E111" s="21"/>
      <c r="F111" s="21"/>
      <c r="G111" s="21"/>
      <c r="H111" s="21"/>
    </row>
    <row r="112" spans="1:8">
      <c r="C112" s="21"/>
      <c r="D112" s="21"/>
      <c r="E112" s="21"/>
      <c r="F112" s="21"/>
      <c r="G112" s="21"/>
      <c r="H112" s="21"/>
    </row>
    <row r="113" spans="3:8">
      <c r="C113" s="21"/>
      <c r="D113" s="21"/>
      <c r="E113" s="21"/>
      <c r="F113" s="21"/>
      <c r="G113" s="21"/>
      <c r="H113" s="21"/>
    </row>
    <row r="114" spans="3:8">
      <c r="C114" s="21"/>
      <c r="D114" s="21"/>
      <c r="E114" s="21"/>
      <c r="F114" s="21"/>
      <c r="G114" s="21"/>
      <c r="H114" s="21"/>
    </row>
    <row r="115" spans="3:8">
      <c r="C115" s="21"/>
      <c r="D115" s="21"/>
      <c r="E115" s="21"/>
      <c r="F115" s="21"/>
      <c r="G115" s="21"/>
      <c r="H115" s="21"/>
    </row>
  </sheetData>
  <phoneticPr fontId="10" type="noConversion"/>
  <pageMargins left="0.75" right="0.75" top="1" bottom="1" header="0.1" footer="0.5"/>
  <pageSetup orientation="portrait" horizontalDpi="0" verticalDpi="0" r:id="rId1"/>
  <headerFooter alignWithMargins="0">
    <oddHeader>&amp;L&amp;"Arial,Bold"&amp;10 5:02 PM
&amp;"Arial,Bold"&amp;10 07/11/16
&amp;"Arial,Bold"&amp;10 Accrual Basis&amp;C&amp;"Arial,Bold"&amp;10 Democracy Now! Productions, Inc.
&amp;"Arial,Bold"&amp;14 Balance Sheet
&amp;"Arial,Bold"&amp;10 As of December 31, 2015</oddHeader>
    <oddFooter>&amp;R&amp;"Arial,Bold"&amp;10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IV343"/>
  <sheetViews>
    <sheetView workbookViewId="0">
      <pane xSplit="8" ySplit="3" topLeftCell="T34" activePane="bottomRight" state="frozenSplit"/>
      <selection activeCell="I3" sqref="I3:J52"/>
      <selection pane="topRight" activeCell="I3" sqref="I3:J52"/>
      <selection pane="bottomLeft" activeCell="I3" sqref="I3:J52"/>
      <selection pane="bottomRight" activeCell="I3" sqref="I3:J52"/>
    </sheetView>
  </sheetViews>
  <sheetFormatPr defaultColWidth="9.1328125" defaultRowHeight="13.15"/>
  <cols>
    <col min="1" max="1" width="9.1328125" style="87"/>
    <col min="2" max="2" width="40.1328125" style="86" customWidth="1"/>
    <col min="3" max="7" width="3" style="19" customWidth="1"/>
    <col min="8" max="8" width="40.1328125" style="19" customWidth="1"/>
    <col min="9" max="13" width="20" style="20" customWidth="1"/>
    <col min="14" max="14" width="14.73046875" style="20" bestFit="1" customWidth="1"/>
    <col min="15" max="15" width="17" style="20" bestFit="1" customWidth="1"/>
    <col min="16" max="16" width="15.86328125" style="20" bestFit="1" customWidth="1"/>
    <col min="17" max="17" width="14" style="20" bestFit="1" customWidth="1"/>
    <col min="18" max="18" width="19.3984375" style="20" bestFit="1" customWidth="1"/>
    <col min="19" max="19" width="12.3984375" style="20" bestFit="1" customWidth="1"/>
    <col min="20" max="20" width="16.59765625" style="20" bestFit="1" customWidth="1"/>
    <col min="21" max="21" width="16.1328125" style="20" bestFit="1" customWidth="1"/>
    <col min="22" max="22" width="19" style="20" bestFit="1" customWidth="1"/>
    <col min="23" max="23" width="12" style="20" bestFit="1" customWidth="1"/>
    <col min="24" max="24" width="16.1328125" style="20" bestFit="1" customWidth="1"/>
    <col min="25" max="27" width="14" style="20" bestFit="1" customWidth="1"/>
    <col min="28" max="28" width="18.1328125" style="20" bestFit="1" customWidth="1"/>
    <col min="29" max="29" width="15.3984375" style="20" bestFit="1" customWidth="1"/>
    <col min="30" max="30" width="19.59765625" style="20" bestFit="1" customWidth="1"/>
    <col min="31" max="32" width="10.3984375" style="20" bestFit="1" customWidth="1"/>
    <col min="33" max="33" width="17.3984375" style="20" bestFit="1" customWidth="1"/>
    <col min="34" max="34" width="15" style="20" bestFit="1" customWidth="1"/>
    <col min="35" max="35" width="16.1328125" style="20" bestFit="1" customWidth="1"/>
    <col min="36" max="36" width="14.59765625" style="20" bestFit="1" customWidth="1"/>
    <col min="37" max="37" width="11.86328125" style="20" bestFit="1" customWidth="1"/>
    <col min="38" max="38" width="11.73046875" style="20" bestFit="1" customWidth="1"/>
    <col min="39" max="39" width="14.59765625" style="17" bestFit="1" customWidth="1"/>
    <col min="40" max="40" width="11.86328125" style="17" bestFit="1" customWidth="1"/>
    <col min="41" max="41" width="11.73046875" style="17" bestFit="1" customWidth="1"/>
    <col min="42" max="16384" width="9.1328125" style="17"/>
  </cols>
  <sheetData>
    <row r="1" spans="1:256" s="87" customFormat="1" ht="12.75">
      <c r="A1" s="85">
        <v>1</v>
      </c>
      <c r="B1" s="85">
        <f t="shared" ref="B1:BM1" si="0">A1+1</f>
        <v>2</v>
      </c>
      <c r="C1" s="85">
        <f t="shared" si="0"/>
        <v>3</v>
      </c>
      <c r="D1" s="85">
        <f t="shared" si="0"/>
        <v>4</v>
      </c>
      <c r="E1" s="85">
        <f t="shared" si="0"/>
        <v>5</v>
      </c>
      <c r="F1" s="85">
        <f t="shared" si="0"/>
        <v>6</v>
      </c>
      <c r="G1" s="85">
        <f t="shared" si="0"/>
        <v>7</v>
      </c>
      <c r="H1" s="85">
        <f t="shared" si="0"/>
        <v>8</v>
      </c>
      <c r="I1" s="85">
        <f t="shared" si="0"/>
        <v>9</v>
      </c>
      <c r="J1" s="85">
        <f t="shared" si="0"/>
        <v>10</v>
      </c>
      <c r="K1" s="85">
        <f t="shared" si="0"/>
        <v>11</v>
      </c>
      <c r="L1" s="85">
        <f t="shared" si="0"/>
        <v>12</v>
      </c>
      <c r="M1" s="85">
        <f t="shared" si="0"/>
        <v>13</v>
      </c>
      <c r="N1" s="85">
        <f t="shared" si="0"/>
        <v>14</v>
      </c>
      <c r="O1" s="85">
        <f t="shared" si="0"/>
        <v>15</v>
      </c>
      <c r="P1" s="85">
        <f t="shared" si="0"/>
        <v>16</v>
      </c>
      <c r="Q1" s="85">
        <f t="shared" si="0"/>
        <v>17</v>
      </c>
      <c r="R1" s="85">
        <f t="shared" si="0"/>
        <v>18</v>
      </c>
      <c r="S1" s="85">
        <f t="shared" si="0"/>
        <v>19</v>
      </c>
      <c r="T1" s="85">
        <f t="shared" si="0"/>
        <v>20</v>
      </c>
      <c r="U1" s="85">
        <f t="shared" si="0"/>
        <v>21</v>
      </c>
      <c r="V1" s="85">
        <f t="shared" si="0"/>
        <v>22</v>
      </c>
      <c r="W1" s="85">
        <f t="shared" si="0"/>
        <v>23</v>
      </c>
      <c r="X1" s="85">
        <f t="shared" si="0"/>
        <v>24</v>
      </c>
      <c r="Y1" s="85">
        <f t="shared" si="0"/>
        <v>25</v>
      </c>
      <c r="Z1" s="85">
        <f t="shared" si="0"/>
        <v>26</v>
      </c>
      <c r="AA1" s="85">
        <f t="shared" si="0"/>
        <v>27</v>
      </c>
      <c r="AB1" s="85">
        <f t="shared" si="0"/>
        <v>28</v>
      </c>
      <c r="AC1" s="85">
        <f t="shared" si="0"/>
        <v>29</v>
      </c>
      <c r="AD1" s="85">
        <f t="shared" si="0"/>
        <v>30</v>
      </c>
      <c r="AE1" s="85">
        <f t="shared" si="0"/>
        <v>31</v>
      </c>
      <c r="AF1" s="85">
        <f t="shared" si="0"/>
        <v>32</v>
      </c>
      <c r="AG1" s="85">
        <f t="shared" si="0"/>
        <v>33</v>
      </c>
      <c r="AH1" s="85">
        <f t="shared" si="0"/>
        <v>34</v>
      </c>
      <c r="AI1" s="85">
        <f t="shared" si="0"/>
        <v>35</v>
      </c>
      <c r="AJ1" s="85">
        <f t="shared" si="0"/>
        <v>36</v>
      </c>
      <c r="AK1" s="85">
        <f t="shared" si="0"/>
        <v>37</v>
      </c>
      <c r="AL1" s="85">
        <f t="shared" si="0"/>
        <v>38</v>
      </c>
      <c r="AM1" s="85">
        <f t="shared" si="0"/>
        <v>39</v>
      </c>
      <c r="AN1" s="85">
        <f t="shared" si="0"/>
        <v>40</v>
      </c>
      <c r="AO1" s="85">
        <f t="shared" si="0"/>
        <v>41</v>
      </c>
      <c r="AP1" s="85">
        <f t="shared" si="0"/>
        <v>42</v>
      </c>
      <c r="AQ1" s="85">
        <f t="shared" si="0"/>
        <v>43</v>
      </c>
      <c r="AR1" s="85">
        <f t="shared" si="0"/>
        <v>44</v>
      </c>
      <c r="AS1" s="85">
        <f t="shared" si="0"/>
        <v>45</v>
      </c>
      <c r="AT1" s="85">
        <f t="shared" si="0"/>
        <v>46</v>
      </c>
      <c r="AU1" s="85">
        <f t="shared" si="0"/>
        <v>47</v>
      </c>
      <c r="AV1" s="85">
        <f t="shared" si="0"/>
        <v>48</v>
      </c>
      <c r="AW1" s="85">
        <f t="shared" si="0"/>
        <v>49</v>
      </c>
      <c r="AX1" s="85">
        <f t="shared" si="0"/>
        <v>50</v>
      </c>
      <c r="AY1" s="85">
        <f t="shared" si="0"/>
        <v>51</v>
      </c>
      <c r="AZ1" s="85">
        <f t="shared" si="0"/>
        <v>52</v>
      </c>
      <c r="BA1" s="85">
        <f t="shared" si="0"/>
        <v>53</v>
      </c>
      <c r="BB1" s="85">
        <f t="shared" si="0"/>
        <v>54</v>
      </c>
      <c r="BC1" s="85">
        <f t="shared" si="0"/>
        <v>55</v>
      </c>
      <c r="BD1" s="85">
        <f t="shared" si="0"/>
        <v>56</v>
      </c>
      <c r="BE1" s="85">
        <f t="shared" si="0"/>
        <v>57</v>
      </c>
      <c r="BF1" s="85">
        <f t="shared" si="0"/>
        <v>58</v>
      </c>
      <c r="BG1" s="85">
        <f t="shared" si="0"/>
        <v>59</v>
      </c>
      <c r="BH1" s="85">
        <f t="shared" si="0"/>
        <v>60</v>
      </c>
      <c r="BI1" s="85">
        <f t="shared" si="0"/>
        <v>61</v>
      </c>
      <c r="BJ1" s="85">
        <f t="shared" si="0"/>
        <v>62</v>
      </c>
      <c r="BK1" s="85">
        <f t="shared" si="0"/>
        <v>63</v>
      </c>
      <c r="BL1" s="85">
        <f t="shared" si="0"/>
        <v>64</v>
      </c>
      <c r="BM1" s="85">
        <f t="shared" si="0"/>
        <v>65</v>
      </c>
      <c r="BN1" s="85">
        <f t="shared" ref="BN1:DY1" si="1">BM1+1</f>
        <v>66</v>
      </c>
      <c r="BO1" s="85">
        <f t="shared" si="1"/>
        <v>67</v>
      </c>
      <c r="BP1" s="85">
        <f t="shared" si="1"/>
        <v>68</v>
      </c>
      <c r="BQ1" s="85">
        <f t="shared" si="1"/>
        <v>69</v>
      </c>
      <c r="BR1" s="85">
        <f t="shared" si="1"/>
        <v>70</v>
      </c>
      <c r="BS1" s="85">
        <f t="shared" si="1"/>
        <v>71</v>
      </c>
      <c r="BT1" s="85">
        <f t="shared" si="1"/>
        <v>72</v>
      </c>
      <c r="BU1" s="85">
        <f t="shared" si="1"/>
        <v>73</v>
      </c>
      <c r="BV1" s="85">
        <f t="shared" si="1"/>
        <v>74</v>
      </c>
      <c r="BW1" s="85">
        <f t="shared" si="1"/>
        <v>75</v>
      </c>
      <c r="BX1" s="85">
        <f t="shared" si="1"/>
        <v>76</v>
      </c>
      <c r="BY1" s="85">
        <f t="shared" si="1"/>
        <v>77</v>
      </c>
      <c r="BZ1" s="85">
        <f t="shared" si="1"/>
        <v>78</v>
      </c>
      <c r="CA1" s="85">
        <f t="shared" si="1"/>
        <v>79</v>
      </c>
      <c r="CB1" s="85">
        <f t="shared" si="1"/>
        <v>80</v>
      </c>
      <c r="CC1" s="85">
        <f t="shared" si="1"/>
        <v>81</v>
      </c>
      <c r="CD1" s="85">
        <f t="shared" si="1"/>
        <v>82</v>
      </c>
      <c r="CE1" s="85">
        <f t="shared" si="1"/>
        <v>83</v>
      </c>
      <c r="CF1" s="85">
        <f t="shared" si="1"/>
        <v>84</v>
      </c>
      <c r="CG1" s="85">
        <f t="shared" si="1"/>
        <v>85</v>
      </c>
      <c r="CH1" s="85">
        <f t="shared" si="1"/>
        <v>86</v>
      </c>
      <c r="CI1" s="85">
        <f t="shared" si="1"/>
        <v>87</v>
      </c>
      <c r="CJ1" s="85">
        <f t="shared" si="1"/>
        <v>88</v>
      </c>
      <c r="CK1" s="85">
        <f t="shared" si="1"/>
        <v>89</v>
      </c>
      <c r="CL1" s="85">
        <f t="shared" si="1"/>
        <v>90</v>
      </c>
      <c r="CM1" s="85">
        <f t="shared" si="1"/>
        <v>91</v>
      </c>
      <c r="CN1" s="85">
        <f t="shared" si="1"/>
        <v>92</v>
      </c>
      <c r="CO1" s="85">
        <f t="shared" si="1"/>
        <v>93</v>
      </c>
      <c r="CP1" s="85">
        <f t="shared" si="1"/>
        <v>94</v>
      </c>
      <c r="CQ1" s="85">
        <f t="shared" si="1"/>
        <v>95</v>
      </c>
      <c r="CR1" s="85">
        <f t="shared" si="1"/>
        <v>96</v>
      </c>
      <c r="CS1" s="85">
        <f t="shared" si="1"/>
        <v>97</v>
      </c>
      <c r="CT1" s="85">
        <f t="shared" si="1"/>
        <v>98</v>
      </c>
      <c r="CU1" s="85">
        <f t="shared" si="1"/>
        <v>99</v>
      </c>
      <c r="CV1" s="85">
        <f t="shared" si="1"/>
        <v>100</v>
      </c>
      <c r="CW1" s="85">
        <f t="shared" si="1"/>
        <v>101</v>
      </c>
      <c r="CX1" s="85">
        <f t="shared" si="1"/>
        <v>102</v>
      </c>
      <c r="CY1" s="85">
        <f t="shared" si="1"/>
        <v>103</v>
      </c>
      <c r="CZ1" s="85">
        <f t="shared" si="1"/>
        <v>104</v>
      </c>
      <c r="DA1" s="85">
        <f t="shared" si="1"/>
        <v>105</v>
      </c>
      <c r="DB1" s="85">
        <f t="shared" si="1"/>
        <v>106</v>
      </c>
      <c r="DC1" s="85">
        <f t="shared" si="1"/>
        <v>107</v>
      </c>
      <c r="DD1" s="85">
        <f t="shared" si="1"/>
        <v>108</v>
      </c>
      <c r="DE1" s="85">
        <f t="shared" si="1"/>
        <v>109</v>
      </c>
      <c r="DF1" s="85">
        <f t="shared" si="1"/>
        <v>110</v>
      </c>
      <c r="DG1" s="85">
        <f t="shared" si="1"/>
        <v>111</v>
      </c>
      <c r="DH1" s="85">
        <f t="shared" si="1"/>
        <v>112</v>
      </c>
      <c r="DI1" s="85">
        <f t="shared" si="1"/>
        <v>113</v>
      </c>
      <c r="DJ1" s="85">
        <f t="shared" si="1"/>
        <v>114</v>
      </c>
      <c r="DK1" s="85">
        <f t="shared" si="1"/>
        <v>115</v>
      </c>
      <c r="DL1" s="85">
        <f t="shared" si="1"/>
        <v>116</v>
      </c>
      <c r="DM1" s="85">
        <f t="shared" si="1"/>
        <v>117</v>
      </c>
      <c r="DN1" s="85">
        <f t="shared" si="1"/>
        <v>118</v>
      </c>
      <c r="DO1" s="85">
        <f t="shared" si="1"/>
        <v>119</v>
      </c>
      <c r="DP1" s="85">
        <f t="shared" si="1"/>
        <v>120</v>
      </c>
      <c r="DQ1" s="85">
        <f t="shared" si="1"/>
        <v>121</v>
      </c>
      <c r="DR1" s="85">
        <f t="shared" si="1"/>
        <v>122</v>
      </c>
      <c r="DS1" s="85">
        <f t="shared" si="1"/>
        <v>123</v>
      </c>
      <c r="DT1" s="85">
        <f t="shared" si="1"/>
        <v>124</v>
      </c>
      <c r="DU1" s="85">
        <f t="shared" si="1"/>
        <v>125</v>
      </c>
      <c r="DV1" s="85">
        <f t="shared" si="1"/>
        <v>126</v>
      </c>
      <c r="DW1" s="85">
        <f t="shared" si="1"/>
        <v>127</v>
      </c>
      <c r="DX1" s="85">
        <f t="shared" si="1"/>
        <v>128</v>
      </c>
      <c r="DY1" s="85">
        <f t="shared" si="1"/>
        <v>129</v>
      </c>
      <c r="DZ1" s="85">
        <f t="shared" ref="DZ1:GK1" si="2">DY1+1</f>
        <v>130</v>
      </c>
      <c r="EA1" s="85">
        <f t="shared" si="2"/>
        <v>131</v>
      </c>
      <c r="EB1" s="85">
        <f t="shared" si="2"/>
        <v>132</v>
      </c>
      <c r="EC1" s="85">
        <f t="shared" si="2"/>
        <v>133</v>
      </c>
      <c r="ED1" s="85">
        <f t="shared" si="2"/>
        <v>134</v>
      </c>
      <c r="EE1" s="85">
        <f t="shared" si="2"/>
        <v>135</v>
      </c>
      <c r="EF1" s="85">
        <f t="shared" si="2"/>
        <v>136</v>
      </c>
      <c r="EG1" s="85">
        <f t="shared" si="2"/>
        <v>137</v>
      </c>
      <c r="EH1" s="85">
        <f t="shared" si="2"/>
        <v>138</v>
      </c>
      <c r="EI1" s="85">
        <f t="shared" si="2"/>
        <v>139</v>
      </c>
      <c r="EJ1" s="85">
        <f t="shared" si="2"/>
        <v>140</v>
      </c>
      <c r="EK1" s="85">
        <f t="shared" si="2"/>
        <v>141</v>
      </c>
      <c r="EL1" s="85">
        <f t="shared" si="2"/>
        <v>142</v>
      </c>
      <c r="EM1" s="85">
        <f t="shared" si="2"/>
        <v>143</v>
      </c>
      <c r="EN1" s="85">
        <f t="shared" si="2"/>
        <v>144</v>
      </c>
      <c r="EO1" s="85">
        <f t="shared" si="2"/>
        <v>145</v>
      </c>
      <c r="EP1" s="85">
        <f t="shared" si="2"/>
        <v>146</v>
      </c>
      <c r="EQ1" s="85">
        <f t="shared" si="2"/>
        <v>147</v>
      </c>
      <c r="ER1" s="85">
        <f t="shared" si="2"/>
        <v>148</v>
      </c>
      <c r="ES1" s="85">
        <f t="shared" si="2"/>
        <v>149</v>
      </c>
      <c r="ET1" s="85">
        <f t="shared" si="2"/>
        <v>150</v>
      </c>
      <c r="EU1" s="85">
        <f t="shared" si="2"/>
        <v>151</v>
      </c>
      <c r="EV1" s="85">
        <f t="shared" si="2"/>
        <v>152</v>
      </c>
      <c r="EW1" s="85">
        <f t="shared" si="2"/>
        <v>153</v>
      </c>
      <c r="EX1" s="85">
        <f t="shared" si="2"/>
        <v>154</v>
      </c>
      <c r="EY1" s="85">
        <f t="shared" si="2"/>
        <v>155</v>
      </c>
      <c r="EZ1" s="85">
        <f t="shared" si="2"/>
        <v>156</v>
      </c>
      <c r="FA1" s="85">
        <f t="shared" si="2"/>
        <v>157</v>
      </c>
      <c r="FB1" s="85">
        <f t="shared" si="2"/>
        <v>158</v>
      </c>
      <c r="FC1" s="85">
        <f t="shared" si="2"/>
        <v>159</v>
      </c>
      <c r="FD1" s="85">
        <f t="shared" si="2"/>
        <v>160</v>
      </c>
      <c r="FE1" s="85">
        <f t="shared" si="2"/>
        <v>161</v>
      </c>
      <c r="FF1" s="85">
        <f t="shared" si="2"/>
        <v>162</v>
      </c>
      <c r="FG1" s="85">
        <f t="shared" si="2"/>
        <v>163</v>
      </c>
      <c r="FH1" s="85">
        <f t="shared" si="2"/>
        <v>164</v>
      </c>
      <c r="FI1" s="85">
        <f t="shared" si="2"/>
        <v>165</v>
      </c>
      <c r="FJ1" s="85">
        <f t="shared" si="2"/>
        <v>166</v>
      </c>
      <c r="FK1" s="85">
        <f t="shared" si="2"/>
        <v>167</v>
      </c>
      <c r="FL1" s="85">
        <f t="shared" si="2"/>
        <v>168</v>
      </c>
      <c r="FM1" s="85">
        <f t="shared" si="2"/>
        <v>169</v>
      </c>
      <c r="FN1" s="85">
        <f t="shared" si="2"/>
        <v>170</v>
      </c>
      <c r="FO1" s="85">
        <f t="shared" si="2"/>
        <v>171</v>
      </c>
      <c r="FP1" s="85">
        <f t="shared" si="2"/>
        <v>172</v>
      </c>
      <c r="FQ1" s="85">
        <f t="shared" si="2"/>
        <v>173</v>
      </c>
      <c r="FR1" s="85">
        <f t="shared" si="2"/>
        <v>174</v>
      </c>
      <c r="FS1" s="85">
        <f t="shared" si="2"/>
        <v>175</v>
      </c>
      <c r="FT1" s="85">
        <f t="shared" si="2"/>
        <v>176</v>
      </c>
      <c r="FU1" s="85">
        <f t="shared" si="2"/>
        <v>177</v>
      </c>
      <c r="FV1" s="85">
        <f t="shared" si="2"/>
        <v>178</v>
      </c>
      <c r="FW1" s="85">
        <f t="shared" si="2"/>
        <v>179</v>
      </c>
      <c r="FX1" s="85">
        <f t="shared" si="2"/>
        <v>180</v>
      </c>
      <c r="FY1" s="85">
        <f t="shared" si="2"/>
        <v>181</v>
      </c>
      <c r="FZ1" s="85">
        <f t="shared" si="2"/>
        <v>182</v>
      </c>
      <c r="GA1" s="85">
        <f t="shared" si="2"/>
        <v>183</v>
      </c>
      <c r="GB1" s="85">
        <f t="shared" si="2"/>
        <v>184</v>
      </c>
      <c r="GC1" s="85">
        <f t="shared" si="2"/>
        <v>185</v>
      </c>
      <c r="GD1" s="85">
        <f t="shared" si="2"/>
        <v>186</v>
      </c>
      <c r="GE1" s="85">
        <f t="shared" si="2"/>
        <v>187</v>
      </c>
      <c r="GF1" s="85">
        <f t="shared" si="2"/>
        <v>188</v>
      </c>
      <c r="GG1" s="85">
        <f t="shared" si="2"/>
        <v>189</v>
      </c>
      <c r="GH1" s="85">
        <f t="shared" si="2"/>
        <v>190</v>
      </c>
      <c r="GI1" s="85">
        <f t="shared" si="2"/>
        <v>191</v>
      </c>
      <c r="GJ1" s="85">
        <f t="shared" si="2"/>
        <v>192</v>
      </c>
      <c r="GK1" s="85">
        <f t="shared" si="2"/>
        <v>193</v>
      </c>
      <c r="GL1" s="85">
        <f t="shared" ref="GL1:IV1" si="3">GK1+1</f>
        <v>194</v>
      </c>
      <c r="GM1" s="85">
        <f t="shared" si="3"/>
        <v>195</v>
      </c>
      <c r="GN1" s="85">
        <f t="shared" si="3"/>
        <v>196</v>
      </c>
      <c r="GO1" s="85">
        <f t="shared" si="3"/>
        <v>197</v>
      </c>
      <c r="GP1" s="85">
        <f t="shared" si="3"/>
        <v>198</v>
      </c>
      <c r="GQ1" s="85">
        <f t="shared" si="3"/>
        <v>199</v>
      </c>
      <c r="GR1" s="85">
        <f t="shared" si="3"/>
        <v>200</v>
      </c>
      <c r="GS1" s="85">
        <f t="shared" si="3"/>
        <v>201</v>
      </c>
      <c r="GT1" s="85">
        <f t="shared" si="3"/>
        <v>202</v>
      </c>
      <c r="GU1" s="85">
        <f t="shared" si="3"/>
        <v>203</v>
      </c>
      <c r="GV1" s="85">
        <f t="shared" si="3"/>
        <v>204</v>
      </c>
      <c r="GW1" s="85">
        <f t="shared" si="3"/>
        <v>205</v>
      </c>
      <c r="GX1" s="85">
        <f t="shared" si="3"/>
        <v>206</v>
      </c>
      <c r="GY1" s="85">
        <f t="shared" si="3"/>
        <v>207</v>
      </c>
      <c r="GZ1" s="85">
        <f t="shared" si="3"/>
        <v>208</v>
      </c>
      <c r="HA1" s="85">
        <f t="shared" si="3"/>
        <v>209</v>
      </c>
      <c r="HB1" s="85">
        <f t="shared" si="3"/>
        <v>210</v>
      </c>
      <c r="HC1" s="85">
        <f t="shared" si="3"/>
        <v>211</v>
      </c>
      <c r="HD1" s="85">
        <f t="shared" si="3"/>
        <v>212</v>
      </c>
      <c r="HE1" s="85">
        <f t="shared" si="3"/>
        <v>213</v>
      </c>
      <c r="HF1" s="85">
        <f t="shared" si="3"/>
        <v>214</v>
      </c>
      <c r="HG1" s="85">
        <f t="shared" si="3"/>
        <v>215</v>
      </c>
      <c r="HH1" s="85">
        <f t="shared" si="3"/>
        <v>216</v>
      </c>
      <c r="HI1" s="85">
        <f t="shared" si="3"/>
        <v>217</v>
      </c>
      <c r="HJ1" s="85">
        <f t="shared" si="3"/>
        <v>218</v>
      </c>
      <c r="HK1" s="85">
        <f t="shared" si="3"/>
        <v>219</v>
      </c>
      <c r="HL1" s="85">
        <f t="shared" si="3"/>
        <v>220</v>
      </c>
      <c r="HM1" s="85">
        <f t="shared" si="3"/>
        <v>221</v>
      </c>
      <c r="HN1" s="85">
        <f t="shared" si="3"/>
        <v>222</v>
      </c>
      <c r="HO1" s="85">
        <f t="shared" si="3"/>
        <v>223</v>
      </c>
      <c r="HP1" s="85">
        <f t="shared" si="3"/>
        <v>224</v>
      </c>
      <c r="HQ1" s="85">
        <f t="shared" si="3"/>
        <v>225</v>
      </c>
      <c r="HR1" s="85">
        <f t="shared" si="3"/>
        <v>226</v>
      </c>
      <c r="HS1" s="85">
        <f t="shared" si="3"/>
        <v>227</v>
      </c>
      <c r="HT1" s="85">
        <f t="shared" si="3"/>
        <v>228</v>
      </c>
      <c r="HU1" s="85">
        <f t="shared" si="3"/>
        <v>229</v>
      </c>
      <c r="HV1" s="85">
        <f t="shared" si="3"/>
        <v>230</v>
      </c>
      <c r="HW1" s="85">
        <f t="shared" si="3"/>
        <v>231</v>
      </c>
      <c r="HX1" s="85">
        <f t="shared" si="3"/>
        <v>232</v>
      </c>
      <c r="HY1" s="85">
        <f t="shared" si="3"/>
        <v>233</v>
      </c>
      <c r="HZ1" s="85">
        <f t="shared" si="3"/>
        <v>234</v>
      </c>
      <c r="IA1" s="85">
        <f t="shared" si="3"/>
        <v>235</v>
      </c>
      <c r="IB1" s="85">
        <f t="shared" si="3"/>
        <v>236</v>
      </c>
      <c r="IC1" s="85">
        <f t="shared" si="3"/>
        <v>237</v>
      </c>
      <c r="ID1" s="85">
        <f t="shared" si="3"/>
        <v>238</v>
      </c>
      <c r="IE1" s="85">
        <f t="shared" si="3"/>
        <v>239</v>
      </c>
      <c r="IF1" s="85">
        <f t="shared" si="3"/>
        <v>240</v>
      </c>
      <c r="IG1" s="85">
        <f t="shared" si="3"/>
        <v>241</v>
      </c>
      <c r="IH1" s="85">
        <f t="shared" si="3"/>
        <v>242</v>
      </c>
      <c r="II1" s="85">
        <f t="shared" si="3"/>
        <v>243</v>
      </c>
      <c r="IJ1" s="85">
        <f t="shared" si="3"/>
        <v>244</v>
      </c>
      <c r="IK1" s="85">
        <f t="shared" si="3"/>
        <v>245</v>
      </c>
      <c r="IL1" s="85">
        <f t="shared" si="3"/>
        <v>246</v>
      </c>
      <c r="IM1" s="85">
        <f t="shared" si="3"/>
        <v>247</v>
      </c>
      <c r="IN1" s="85">
        <f t="shared" si="3"/>
        <v>248</v>
      </c>
      <c r="IO1" s="85">
        <f t="shared" si="3"/>
        <v>249</v>
      </c>
      <c r="IP1" s="85">
        <f t="shared" si="3"/>
        <v>250</v>
      </c>
      <c r="IQ1" s="85">
        <f t="shared" si="3"/>
        <v>251</v>
      </c>
      <c r="IR1" s="85">
        <f t="shared" si="3"/>
        <v>252</v>
      </c>
      <c r="IS1" s="85">
        <f t="shared" si="3"/>
        <v>253</v>
      </c>
      <c r="IT1" s="85">
        <f t="shared" si="3"/>
        <v>254</v>
      </c>
      <c r="IU1" s="85">
        <f t="shared" si="3"/>
        <v>255</v>
      </c>
      <c r="IV1" s="85">
        <f t="shared" si="3"/>
        <v>256</v>
      </c>
    </row>
    <row r="2" spans="1:256" s="85" customFormat="1" ht="14.25">
      <c r="A2" s="85">
        <f>A1+1</f>
        <v>2</v>
      </c>
      <c r="B2" s="85" t="s">
        <v>103</v>
      </c>
      <c r="C2" s="88"/>
      <c r="D2" s="88"/>
      <c r="E2" s="88"/>
      <c r="F2" s="88"/>
      <c r="G2" s="88"/>
      <c r="H2" s="88"/>
      <c r="I2" s="120" t="s">
        <v>197</v>
      </c>
      <c r="J2" s="120" t="s">
        <v>133</v>
      </c>
      <c r="K2" s="120" t="s">
        <v>134</v>
      </c>
      <c r="L2" s="120" t="s">
        <v>135</v>
      </c>
      <c r="M2" s="121" t="s">
        <v>136</v>
      </c>
      <c r="N2" s="121" t="s">
        <v>137</v>
      </c>
      <c r="O2" s="121" t="s">
        <v>138</v>
      </c>
      <c r="P2" s="121" t="s">
        <v>139</v>
      </c>
      <c r="Q2" s="120" t="s">
        <v>140</v>
      </c>
      <c r="R2" s="121" t="s">
        <v>141</v>
      </c>
      <c r="S2" s="120" t="s">
        <v>142</v>
      </c>
      <c r="T2" s="121" t="s">
        <v>143</v>
      </c>
      <c r="U2" s="121" t="s">
        <v>144</v>
      </c>
      <c r="V2" s="120"/>
      <c r="W2" s="88"/>
      <c r="X2" s="88"/>
      <c r="Y2" s="88"/>
      <c r="Z2" s="88"/>
      <c r="AA2" s="89"/>
      <c r="AB2" s="88"/>
      <c r="AC2" s="88"/>
      <c r="AD2" s="88"/>
      <c r="AE2" s="89"/>
      <c r="AF2" s="88"/>
      <c r="AG2" s="89"/>
      <c r="AH2" s="88"/>
      <c r="AI2" s="88"/>
      <c r="AJ2" s="88"/>
      <c r="AK2" s="88"/>
      <c r="AL2" s="88"/>
      <c r="AM2" s="89"/>
      <c r="AN2" s="89"/>
      <c r="AO2" s="89"/>
      <c r="AP2" s="90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1:256" s="16" customFormat="1" ht="14.25">
      <c r="A3" s="85">
        <f>A2+1</f>
        <v>3</v>
      </c>
      <c r="B3" s="86" t="str">
        <f t="shared" ref="B3:B66" si="4">C3&amp;D3&amp;E3&amp;F3&amp;G3&amp;H3</f>
        <v/>
      </c>
      <c r="C3" s="44"/>
      <c r="D3" s="44"/>
      <c r="E3" s="44"/>
      <c r="F3" s="44"/>
      <c r="G3" s="44"/>
      <c r="H3" s="64"/>
      <c r="I3" s="204" t="s">
        <v>265</v>
      </c>
      <c r="J3" s="204" t="s">
        <v>266</v>
      </c>
      <c r="K3" s="204" t="s">
        <v>267</v>
      </c>
      <c r="L3" s="204" t="s">
        <v>268</v>
      </c>
      <c r="M3" s="204" t="s">
        <v>269</v>
      </c>
      <c r="N3" s="204" t="s">
        <v>270</v>
      </c>
      <c r="O3" s="204" t="s">
        <v>271</v>
      </c>
      <c r="P3" s="204" t="s">
        <v>272</v>
      </c>
      <c r="Q3" s="204" t="s">
        <v>273</v>
      </c>
      <c r="R3" s="204" t="s">
        <v>274</v>
      </c>
      <c r="S3" s="204" t="s">
        <v>275</v>
      </c>
      <c r="T3" s="204" t="s">
        <v>276</v>
      </c>
      <c r="U3" s="204" t="s">
        <v>277</v>
      </c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</row>
    <row r="4" spans="1:256" ht="14.25">
      <c r="A4" s="85">
        <f t="shared" ref="A4:A67" si="5">A3+1</f>
        <v>4</v>
      </c>
      <c r="B4" s="86" t="str">
        <f t="shared" si="4"/>
        <v>ASSETS</v>
      </c>
      <c r="C4" s="46"/>
      <c r="D4" s="46"/>
      <c r="E4" s="46"/>
      <c r="F4" s="46"/>
      <c r="G4" s="46"/>
      <c r="H4" s="205" t="s">
        <v>2</v>
      </c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256" ht="14.25">
      <c r="A5" s="85">
        <f t="shared" si="5"/>
        <v>5</v>
      </c>
      <c r="B5" s="86" t="str">
        <f t="shared" si="4"/>
        <v xml:space="preserve">   Current Assets</v>
      </c>
      <c r="C5" s="46"/>
      <c r="D5" s="46"/>
      <c r="E5" s="46"/>
      <c r="F5" s="46"/>
      <c r="G5" s="46"/>
      <c r="H5" s="205" t="s">
        <v>104</v>
      </c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8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256" ht="14.25">
      <c r="A6" s="85">
        <f t="shared" si="5"/>
        <v>6</v>
      </c>
      <c r="B6" s="86" t="str">
        <f t="shared" si="4"/>
        <v xml:space="preserve">      Bank Accounts</v>
      </c>
      <c r="C6" s="46"/>
      <c r="D6" s="46"/>
      <c r="E6" s="46"/>
      <c r="F6" s="46"/>
      <c r="G6" s="46"/>
      <c r="H6" s="205" t="s">
        <v>105</v>
      </c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8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256" ht="14.25">
      <c r="A7" s="85">
        <f t="shared" si="5"/>
        <v>7</v>
      </c>
      <c r="B7" s="86" t="str">
        <f t="shared" si="4"/>
        <v xml:space="preserve">         1010 Operating Checking</v>
      </c>
      <c r="C7" s="46"/>
      <c r="D7" s="46"/>
      <c r="E7" s="46"/>
      <c r="F7" s="46"/>
      <c r="G7" s="46"/>
      <c r="H7" s="205" t="s">
        <v>106</v>
      </c>
      <c r="I7" s="207">
        <f>12321.73</f>
        <v>12321.73</v>
      </c>
      <c r="J7" s="207">
        <f>17682.6</f>
        <v>17682.599999999999</v>
      </c>
      <c r="K7" s="207">
        <f>13844.23</f>
        <v>13844.23</v>
      </c>
      <c r="L7" s="207">
        <f>16720.21</f>
        <v>16720.21</v>
      </c>
      <c r="M7" s="207">
        <f>11172.43</f>
        <v>11172.43</v>
      </c>
      <c r="N7" s="207">
        <f>5964.59</f>
        <v>5964.59</v>
      </c>
      <c r="O7" s="207">
        <f>13205.12</f>
        <v>13205.12</v>
      </c>
      <c r="P7" s="207">
        <f>23582.41</f>
        <v>23582.41</v>
      </c>
      <c r="Q7" s="207">
        <f>26736.63</f>
        <v>26736.63</v>
      </c>
      <c r="R7" s="207">
        <f>77281.88</f>
        <v>77281.88</v>
      </c>
      <c r="S7" s="207">
        <f>75614.45</f>
        <v>75614.45</v>
      </c>
      <c r="T7" s="207">
        <f>82724.54</f>
        <v>82724.539999999994</v>
      </c>
      <c r="U7" s="207">
        <f>71123.6</f>
        <v>71123.600000000006</v>
      </c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8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256" ht="14.25">
      <c r="A8" s="85">
        <f t="shared" si="5"/>
        <v>8</v>
      </c>
      <c r="B8" s="86" t="str">
        <f t="shared" si="4"/>
        <v xml:space="preserve">         1020 Investment</v>
      </c>
      <c r="C8" s="46"/>
      <c r="D8" s="46"/>
      <c r="E8" s="46"/>
      <c r="F8" s="46"/>
      <c r="G8" s="46"/>
      <c r="H8" s="205" t="s">
        <v>107</v>
      </c>
      <c r="I8" s="207">
        <f>0</f>
        <v>0</v>
      </c>
      <c r="J8" s="207">
        <f t="shared" ref="J8:U10" si="6">I8</f>
        <v>0</v>
      </c>
      <c r="K8" s="207">
        <f t="shared" si="6"/>
        <v>0</v>
      </c>
      <c r="L8" s="207">
        <f t="shared" si="6"/>
        <v>0</v>
      </c>
      <c r="M8" s="207">
        <f t="shared" si="6"/>
        <v>0</v>
      </c>
      <c r="N8" s="207">
        <f t="shared" si="6"/>
        <v>0</v>
      </c>
      <c r="O8" s="207">
        <f t="shared" si="6"/>
        <v>0</v>
      </c>
      <c r="P8" s="207">
        <f t="shared" si="6"/>
        <v>0</v>
      </c>
      <c r="Q8" s="207">
        <f t="shared" si="6"/>
        <v>0</v>
      </c>
      <c r="R8" s="207">
        <f t="shared" si="6"/>
        <v>0</v>
      </c>
      <c r="S8" s="207">
        <f t="shared" si="6"/>
        <v>0</v>
      </c>
      <c r="T8" s="207">
        <f t="shared" si="6"/>
        <v>0</v>
      </c>
      <c r="U8" s="207">
        <f t="shared" si="6"/>
        <v>0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256" ht="14.25">
      <c r="A9" s="85">
        <f t="shared" si="5"/>
        <v>9</v>
      </c>
      <c r="B9" s="86" t="str">
        <f t="shared" si="4"/>
        <v xml:space="preserve">         1030 Paypal</v>
      </c>
      <c r="C9" s="46"/>
      <c r="D9" s="46"/>
      <c r="E9" s="46"/>
      <c r="F9" s="46"/>
      <c r="G9" s="46"/>
      <c r="H9" s="205" t="s">
        <v>108</v>
      </c>
      <c r="I9" s="207">
        <f>0</f>
        <v>0</v>
      </c>
      <c r="J9" s="207">
        <f>101</f>
        <v>101</v>
      </c>
      <c r="K9" s="207">
        <f>J9</f>
        <v>101</v>
      </c>
      <c r="L9" s="207">
        <f>K9</f>
        <v>101</v>
      </c>
      <c r="M9" s="207">
        <f>0</f>
        <v>0</v>
      </c>
      <c r="N9" s="207">
        <f t="shared" si="6"/>
        <v>0</v>
      </c>
      <c r="O9" s="207">
        <f t="shared" si="6"/>
        <v>0</v>
      </c>
      <c r="P9" s="207">
        <f t="shared" si="6"/>
        <v>0</v>
      </c>
      <c r="Q9" s="207">
        <f t="shared" si="6"/>
        <v>0</v>
      </c>
      <c r="R9" s="207">
        <f t="shared" si="6"/>
        <v>0</v>
      </c>
      <c r="S9" s="207">
        <f t="shared" si="6"/>
        <v>0</v>
      </c>
      <c r="T9" s="207">
        <f t="shared" si="6"/>
        <v>0</v>
      </c>
      <c r="U9" s="207">
        <f>47.7</f>
        <v>47.7</v>
      </c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256" ht="14.25">
      <c r="A10" s="85">
        <f t="shared" si="5"/>
        <v>10</v>
      </c>
      <c r="B10" s="86" t="str">
        <f t="shared" si="4"/>
        <v xml:space="preserve">         1040 Petty Cash</v>
      </c>
      <c r="C10" s="46"/>
      <c r="D10" s="46"/>
      <c r="E10" s="46"/>
      <c r="F10" s="46"/>
      <c r="G10" s="46"/>
      <c r="H10" s="205" t="s">
        <v>206</v>
      </c>
      <c r="I10" s="207">
        <f>0</f>
        <v>0</v>
      </c>
      <c r="J10" s="207">
        <f>I10</f>
        <v>0</v>
      </c>
      <c r="K10" s="207">
        <f>200</f>
        <v>200</v>
      </c>
      <c r="L10" s="207">
        <f>400</f>
        <v>400</v>
      </c>
      <c r="M10" s="207">
        <f>L10</f>
        <v>400</v>
      </c>
      <c r="N10" s="207">
        <f t="shared" si="6"/>
        <v>400</v>
      </c>
      <c r="O10" s="207">
        <f t="shared" si="6"/>
        <v>400</v>
      </c>
      <c r="P10" s="207">
        <f t="shared" si="6"/>
        <v>400</v>
      </c>
      <c r="Q10" s="207">
        <f t="shared" si="6"/>
        <v>400</v>
      </c>
      <c r="R10" s="207">
        <f t="shared" si="6"/>
        <v>400</v>
      </c>
      <c r="S10" s="207">
        <f t="shared" si="6"/>
        <v>400</v>
      </c>
      <c r="T10" s="207">
        <f t="shared" si="6"/>
        <v>400</v>
      </c>
      <c r="U10" s="207">
        <f>303.54</f>
        <v>303.54000000000002</v>
      </c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256" ht="14.25">
      <c r="A11" s="85">
        <f t="shared" si="5"/>
        <v>11</v>
      </c>
      <c r="B11" s="86" t="str">
        <f t="shared" si="4"/>
        <v xml:space="preserve">      Total Bank Accounts</v>
      </c>
      <c r="C11" s="46"/>
      <c r="D11" s="46"/>
      <c r="E11" s="46"/>
      <c r="F11" s="46"/>
      <c r="G11" s="46"/>
      <c r="H11" s="205" t="s">
        <v>3</v>
      </c>
      <c r="I11" s="208">
        <f t="shared" ref="I11:U11" si="7">(((I7)+(I8))+(I9))+(I10)</f>
        <v>12321.73</v>
      </c>
      <c r="J11" s="208">
        <f t="shared" si="7"/>
        <v>17783.599999999999</v>
      </c>
      <c r="K11" s="208">
        <f t="shared" si="7"/>
        <v>14145.23</v>
      </c>
      <c r="L11" s="208">
        <f t="shared" si="7"/>
        <v>17221.21</v>
      </c>
      <c r="M11" s="208">
        <f t="shared" si="7"/>
        <v>11572.43</v>
      </c>
      <c r="N11" s="208">
        <f t="shared" si="7"/>
        <v>6364.59</v>
      </c>
      <c r="O11" s="208">
        <f t="shared" si="7"/>
        <v>13605.12</v>
      </c>
      <c r="P11" s="208">
        <f t="shared" si="7"/>
        <v>23982.41</v>
      </c>
      <c r="Q11" s="208">
        <f t="shared" si="7"/>
        <v>27136.63</v>
      </c>
      <c r="R11" s="208">
        <f t="shared" si="7"/>
        <v>77681.88</v>
      </c>
      <c r="S11" s="208">
        <f t="shared" si="7"/>
        <v>76014.45</v>
      </c>
      <c r="T11" s="208">
        <f t="shared" si="7"/>
        <v>83124.539999999994</v>
      </c>
      <c r="U11" s="208">
        <f t="shared" si="7"/>
        <v>71474.84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256" ht="14.25">
      <c r="A12" s="85">
        <f t="shared" si="5"/>
        <v>12</v>
      </c>
      <c r="B12" s="86" t="str">
        <f t="shared" si="4"/>
        <v xml:space="preserve">      Accounts Receivable</v>
      </c>
      <c r="C12" s="46"/>
      <c r="D12" s="46"/>
      <c r="E12" s="46"/>
      <c r="F12" s="46"/>
      <c r="G12" s="46"/>
      <c r="H12" s="205" t="s">
        <v>109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256" ht="14.25">
      <c r="A13" s="85">
        <f t="shared" si="5"/>
        <v>13</v>
      </c>
      <c r="B13" s="86" t="str">
        <f t="shared" si="4"/>
        <v xml:space="preserve">         1100 Accounts Receivable (A/R)</v>
      </c>
      <c r="C13" s="46"/>
      <c r="D13" s="46"/>
      <c r="E13" s="46"/>
      <c r="F13" s="46"/>
      <c r="G13" s="46"/>
      <c r="H13" s="205" t="s">
        <v>70</v>
      </c>
      <c r="I13" s="207">
        <f>17028</f>
        <v>17028</v>
      </c>
      <c r="J13" s="207">
        <f>12500</f>
        <v>12500</v>
      </c>
      <c r="K13" s="207">
        <f>10000</f>
        <v>10000</v>
      </c>
      <c r="L13" s="207">
        <f>0</f>
        <v>0</v>
      </c>
      <c r="M13" s="207">
        <f>L13</f>
        <v>0</v>
      </c>
      <c r="N13" s="207">
        <f>M13</f>
        <v>0</v>
      </c>
      <c r="O13" s="207">
        <f>50000</f>
        <v>50000</v>
      </c>
      <c r="P13" s="207">
        <f>O13</f>
        <v>50000</v>
      </c>
      <c r="Q13" s="207">
        <f>P13</f>
        <v>50000</v>
      </c>
      <c r="R13" s="207">
        <f>0</f>
        <v>0</v>
      </c>
      <c r="S13" s="207">
        <f>45000</f>
        <v>45000</v>
      </c>
      <c r="T13" s="207">
        <f>40000</f>
        <v>40000</v>
      </c>
      <c r="U13" s="207">
        <f>35946.05</f>
        <v>35946.050000000003</v>
      </c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256" ht="14.25">
      <c r="A14" s="85">
        <f t="shared" si="5"/>
        <v>14</v>
      </c>
      <c r="B14" s="86" t="str">
        <f t="shared" si="4"/>
        <v xml:space="preserve">      Total Accounts Receivable</v>
      </c>
      <c r="C14" s="46"/>
      <c r="D14" s="46"/>
      <c r="E14" s="46"/>
      <c r="F14" s="46"/>
      <c r="G14" s="46"/>
      <c r="H14" s="205" t="s">
        <v>5</v>
      </c>
      <c r="I14" s="208">
        <f t="shared" ref="I14:U14" si="8">I13</f>
        <v>17028</v>
      </c>
      <c r="J14" s="208">
        <f t="shared" si="8"/>
        <v>12500</v>
      </c>
      <c r="K14" s="208">
        <f t="shared" si="8"/>
        <v>10000</v>
      </c>
      <c r="L14" s="208">
        <f t="shared" si="8"/>
        <v>0</v>
      </c>
      <c r="M14" s="208">
        <f t="shared" si="8"/>
        <v>0</v>
      </c>
      <c r="N14" s="208">
        <f t="shared" si="8"/>
        <v>0</v>
      </c>
      <c r="O14" s="208">
        <f t="shared" si="8"/>
        <v>50000</v>
      </c>
      <c r="P14" s="208">
        <f t="shared" si="8"/>
        <v>50000</v>
      </c>
      <c r="Q14" s="208">
        <f t="shared" si="8"/>
        <v>50000</v>
      </c>
      <c r="R14" s="208">
        <f t="shared" si="8"/>
        <v>0</v>
      </c>
      <c r="S14" s="208">
        <f t="shared" si="8"/>
        <v>45000</v>
      </c>
      <c r="T14" s="208">
        <f t="shared" si="8"/>
        <v>40000</v>
      </c>
      <c r="U14" s="208">
        <f t="shared" si="8"/>
        <v>35946.050000000003</v>
      </c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256" ht="14.25">
      <c r="A15" s="85">
        <f t="shared" si="5"/>
        <v>15</v>
      </c>
      <c r="B15" s="86" t="str">
        <f t="shared" si="4"/>
        <v xml:space="preserve">      Other Current Assets</v>
      </c>
      <c r="C15" s="46"/>
      <c r="D15" s="46"/>
      <c r="E15" s="46"/>
      <c r="F15" s="46"/>
      <c r="G15" s="46"/>
      <c r="H15" s="205" t="s">
        <v>198</v>
      </c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256" ht="14.25">
      <c r="A16" s="85">
        <f t="shared" si="5"/>
        <v>16</v>
      </c>
      <c r="B16" s="86" t="str">
        <f t="shared" si="4"/>
        <v xml:space="preserve">         1300 Prepaid Expenses</v>
      </c>
      <c r="C16" s="46"/>
      <c r="D16" s="46"/>
      <c r="E16" s="46"/>
      <c r="F16" s="46"/>
      <c r="G16" s="46"/>
      <c r="H16" s="205" t="s">
        <v>9</v>
      </c>
      <c r="I16" s="207">
        <f>219.5</f>
        <v>219.5</v>
      </c>
      <c r="J16" s="207">
        <f>I16</f>
        <v>219.5</v>
      </c>
      <c r="K16" s="207">
        <f>J16</f>
        <v>219.5</v>
      </c>
      <c r="L16" s="207">
        <f>0</f>
        <v>0</v>
      </c>
      <c r="M16" s="207">
        <f>L16</f>
        <v>0</v>
      </c>
      <c r="N16" s="207">
        <f>878</f>
        <v>878</v>
      </c>
      <c r="O16" s="207">
        <f>658.5</f>
        <v>658.5</v>
      </c>
      <c r="P16" s="207">
        <f>O16</f>
        <v>658.5</v>
      </c>
      <c r="Q16" s="207">
        <f>P16</f>
        <v>658.5</v>
      </c>
      <c r="R16" s="207">
        <f>439</f>
        <v>439</v>
      </c>
      <c r="S16" s="207">
        <f>R16</f>
        <v>439</v>
      </c>
      <c r="T16" s="207">
        <f>S16</f>
        <v>439</v>
      </c>
      <c r="U16" s="207">
        <f>219.5</f>
        <v>219.5</v>
      </c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ht="14.25">
      <c r="A17" s="85">
        <f t="shared" si="5"/>
        <v>17</v>
      </c>
      <c r="B17" s="86" t="str">
        <f t="shared" si="4"/>
        <v xml:space="preserve">         1900 Undeposited Funds</v>
      </c>
      <c r="C17" s="46"/>
      <c r="D17" s="46"/>
      <c r="E17" s="46"/>
      <c r="F17" s="46"/>
      <c r="G17" s="46"/>
      <c r="H17" s="205" t="s">
        <v>7</v>
      </c>
      <c r="I17" s="207">
        <f>0</f>
        <v>0</v>
      </c>
      <c r="J17" s="207">
        <f>I17</f>
        <v>0</v>
      </c>
      <c r="K17" s="207">
        <f>J17</f>
        <v>0</v>
      </c>
      <c r="L17" s="207">
        <f>K17</f>
        <v>0</v>
      </c>
      <c r="M17" s="207">
        <f>L17</f>
        <v>0</v>
      </c>
      <c r="N17" s="207">
        <f>M17</f>
        <v>0</v>
      </c>
      <c r="O17" s="207">
        <f>N17</f>
        <v>0</v>
      </c>
      <c r="P17" s="207">
        <f>O17</f>
        <v>0</v>
      </c>
      <c r="Q17" s="207">
        <f>P17</f>
        <v>0</v>
      </c>
      <c r="R17" s="207">
        <f>Q17</f>
        <v>0</v>
      </c>
      <c r="S17" s="207">
        <f>R17</f>
        <v>0</v>
      </c>
      <c r="T17" s="207">
        <f>S17</f>
        <v>0</v>
      </c>
      <c r="U17" s="207">
        <f>T17</f>
        <v>0</v>
      </c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ht="14.25">
      <c r="A18" s="85">
        <f t="shared" si="5"/>
        <v>18</v>
      </c>
      <c r="B18" s="86" t="str">
        <f t="shared" si="4"/>
        <v xml:space="preserve">      Total Other Current Assets</v>
      </c>
      <c r="C18" s="46"/>
      <c r="D18" s="46"/>
      <c r="E18" s="46"/>
      <c r="F18" s="46"/>
      <c r="G18" s="46"/>
      <c r="H18" s="205" t="s">
        <v>199</v>
      </c>
      <c r="I18" s="208">
        <f t="shared" ref="I18:U18" si="9">(I16)+(I17)</f>
        <v>219.5</v>
      </c>
      <c r="J18" s="208">
        <f t="shared" si="9"/>
        <v>219.5</v>
      </c>
      <c r="K18" s="208">
        <f t="shared" si="9"/>
        <v>219.5</v>
      </c>
      <c r="L18" s="208">
        <f t="shared" si="9"/>
        <v>0</v>
      </c>
      <c r="M18" s="208">
        <f t="shared" si="9"/>
        <v>0</v>
      </c>
      <c r="N18" s="208">
        <f t="shared" si="9"/>
        <v>878</v>
      </c>
      <c r="O18" s="208">
        <f t="shared" si="9"/>
        <v>658.5</v>
      </c>
      <c r="P18" s="208">
        <f t="shared" si="9"/>
        <v>658.5</v>
      </c>
      <c r="Q18" s="208">
        <f t="shared" si="9"/>
        <v>658.5</v>
      </c>
      <c r="R18" s="208">
        <f t="shared" si="9"/>
        <v>439</v>
      </c>
      <c r="S18" s="208">
        <f t="shared" si="9"/>
        <v>439</v>
      </c>
      <c r="T18" s="208">
        <f t="shared" si="9"/>
        <v>439</v>
      </c>
      <c r="U18" s="208">
        <f t="shared" si="9"/>
        <v>219.5</v>
      </c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ht="14.25">
      <c r="A19" s="85">
        <f t="shared" si="5"/>
        <v>19</v>
      </c>
      <c r="B19" s="86" t="str">
        <f t="shared" si="4"/>
        <v xml:space="preserve">   Total Current Assets</v>
      </c>
      <c r="C19" s="46"/>
      <c r="D19" s="46"/>
      <c r="E19" s="46"/>
      <c r="F19" s="46"/>
      <c r="G19" s="46"/>
      <c r="H19" s="205" t="s">
        <v>110</v>
      </c>
      <c r="I19" s="208">
        <f t="shared" ref="I19:U19" si="10">((I11)+(I14))+(I18)</f>
        <v>29569.23</v>
      </c>
      <c r="J19" s="208">
        <f t="shared" si="10"/>
        <v>30503.1</v>
      </c>
      <c r="K19" s="208">
        <f t="shared" si="10"/>
        <v>24364.73</v>
      </c>
      <c r="L19" s="208">
        <f t="shared" si="10"/>
        <v>17221.21</v>
      </c>
      <c r="M19" s="208">
        <f t="shared" si="10"/>
        <v>11572.43</v>
      </c>
      <c r="N19" s="208">
        <f t="shared" si="10"/>
        <v>7242.59</v>
      </c>
      <c r="O19" s="208">
        <f t="shared" si="10"/>
        <v>64263.62</v>
      </c>
      <c r="P19" s="208">
        <f t="shared" si="10"/>
        <v>74640.91</v>
      </c>
      <c r="Q19" s="208">
        <f t="shared" si="10"/>
        <v>77795.13</v>
      </c>
      <c r="R19" s="208">
        <f t="shared" si="10"/>
        <v>78120.88</v>
      </c>
      <c r="S19" s="208">
        <f t="shared" si="10"/>
        <v>121453.45</v>
      </c>
      <c r="T19" s="208">
        <f t="shared" si="10"/>
        <v>123563.54</v>
      </c>
      <c r="U19" s="208">
        <f t="shared" si="10"/>
        <v>107640.39</v>
      </c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ht="14.25">
      <c r="A20" s="85">
        <f t="shared" si="5"/>
        <v>20</v>
      </c>
      <c r="B20" s="86" t="str">
        <f t="shared" si="4"/>
        <v xml:space="preserve">   Fixed Assets</v>
      </c>
      <c r="C20" s="46"/>
      <c r="D20" s="46"/>
      <c r="E20" s="46"/>
      <c r="F20" s="46"/>
      <c r="G20" s="46"/>
      <c r="H20" s="205" t="s">
        <v>200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ht="14.25">
      <c r="A21" s="85">
        <f t="shared" si="5"/>
        <v>21</v>
      </c>
      <c r="B21" s="86" t="str">
        <f t="shared" si="4"/>
        <v xml:space="preserve">      1410 Office Equipment</v>
      </c>
      <c r="C21" s="46"/>
      <c r="D21" s="46"/>
      <c r="E21" s="46"/>
      <c r="F21" s="46"/>
      <c r="G21" s="46"/>
      <c r="H21" s="205" t="s">
        <v>201</v>
      </c>
      <c r="I21" s="206"/>
      <c r="J21" s="207">
        <f t="shared" ref="J21:T25" si="11">I21</f>
        <v>0</v>
      </c>
      <c r="K21" s="207">
        <f t="shared" si="11"/>
        <v>0</v>
      </c>
      <c r="L21" s="207">
        <f t="shared" si="11"/>
        <v>0</v>
      </c>
      <c r="M21" s="207">
        <f t="shared" si="11"/>
        <v>0</v>
      </c>
      <c r="N21" s="207">
        <f t="shared" si="11"/>
        <v>0</v>
      </c>
      <c r="O21" s="207">
        <f t="shared" si="11"/>
        <v>0</v>
      </c>
      <c r="P21" s="207">
        <f t="shared" si="11"/>
        <v>0</v>
      </c>
      <c r="Q21" s="207">
        <f t="shared" si="11"/>
        <v>0</v>
      </c>
      <c r="R21" s="207">
        <f t="shared" si="11"/>
        <v>0</v>
      </c>
      <c r="S21" s="207">
        <f t="shared" si="11"/>
        <v>0</v>
      </c>
      <c r="T21" s="207">
        <f t="shared" si="11"/>
        <v>0</v>
      </c>
      <c r="U21" s="207">
        <f>2594.81</f>
        <v>2594.81</v>
      </c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ht="14.25">
      <c r="A22" s="85">
        <f t="shared" si="5"/>
        <v>22</v>
      </c>
      <c r="B22" s="86" t="str">
        <f t="shared" si="4"/>
        <v xml:space="preserve">      1490 Accumulated Depreciation</v>
      </c>
      <c r="C22" s="46"/>
      <c r="D22" s="46"/>
      <c r="E22" s="46"/>
      <c r="F22" s="46"/>
      <c r="G22" s="46"/>
      <c r="H22" s="205" t="s">
        <v>348</v>
      </c>
      <c r="I22" s="206"/>
      <c r="J22" s="207">
        <f t="shared" si="11"/>
        <v>0</v>
      </c>
      <c r="K22" s="207">
        <f t="shared" si="11"/>
        <v>0</v>
      </c>
      <c r="L22" s="207">
        <f t="shared" si="11"/>
        <v>0</v>
      </c>
      <c r="M22" s="207">
        <f t="shared" si="11"/>
        <v>0</v>
      </c>
      <c r="N22" s="207">
        <f t="shared" si="11"/>
        <v>0</v>
      </c>
      <c r="O22" s="207">
        <f t="shared" si="11"/>
        <v>0</v>
      </c>
      <c r="P22" s="207">
        <f t="shared" si="11"/>
        <v>0</v>
      </c>
      <c r="Q22" s="207">
        <f t="shared" si="11"/>
        <v>0</v>
      </c>
      <c r="R22" s="207">
        <f t="shared" si="11"/>
        <v>0</v>
      </c>
      <c r="S22" s="207">
        <f t="shared" si="11"/>
        <v>0</v>
      </c>
      <c r="T22" s="207">
        <f t="shared" si="11"/>
        <v>0</v>
      </c>
      <c r="U22" s="207">
        <f>-72.08</f>
        <v>-72.08</v>
      </c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4.25">
      <c r="A23" s="85">
        <f t="shared" si="5"/>
        <v>23</v>
      </c>
      <c r="B23" s="86" t="str">
        <f t="shared" si="4"/>
        <v xml:space="preserve">      1500 Mobile App</v>
      </c>
      <c r="C23" s="46"/>
      <c r="D23" s="46"/>
      <c r="E23" s="46"/>
      <c r="F23" s="46"/>
      <c r="G23" s="46"/>
      <c r="H23" s="205" t="s">
        <v>207</v>
      </c>
      <c r="I23" s="207">
        <f>37579</f>
        <v>37579</v>
      </c>
      <c r="J23" s="207">
        <f t="shared" si="11"/>
        <v>37579</v>
      </c>
      <c r="K23" s="207">
        <f t="shared" si="11"/>
        <v>37579</v>
      </c>
      <c r="L23" s="207">
        <f t="shared" si="11"/>
        <v>37579</v>
      </c>
      <c r="M23" s="207">
        <f t="shared" si="11"/>
        <v>37579</v>
      </c>
      <c r="N23" s="207">
        <f t="shared" si="11"/>
        <v>37579</v>
      </c>
      <c r="O23" s="207">
        <f t="shared" si="11"/>
        <v>37579</v>
      </c>
      <c r="P23" s="207">
        <f t="shared" si="11"/>
        <v>37579</v>
      </c>
      <c r="Q23" s="207">
        <f t="shared" si="11"/>
        <v>37579</v>
      </c>
      <c r="R23" s="207">
        <f t="shared" si="11"/>
        <v>37579</v>
      </c>
      <c r="S23" s="207">
        <f t="shared" si="11"/>
        <v>37579</v>
      </c>
      <c r="T23" s="207">
        <f t="shared" si="11"/>
        <v>37579</v>
      </c>
      <c r="U23" s="207">
        <f>T23</f>
        <v>37579</v>
      </c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4.25">
      <c r="A24" s="85">
        <f t="shared" si="5"/>
        <v>24</v>
      </c>
      <c r="B24" s="86" t="str">
        <f t="shared" si="4"/>
        <v xml:space="preserve">      1510 Trademark</v>
      </c>
      <c r="C24" s="46"/>
      <c r="D24" s="46"/>
      <c r="E24" s="46"/>
      <c r="F24" s="46"/>
      <c r="G24" s="46"/>
      <c r="H24" s="205" t="s">
        <v>208</v>
      </c>
      <c r="I24" s="207">
        <f>1300</f>
        <v>1300</v>
      </c>
      <c r="J24" s="207">
        <f t="shared" si="11"/>
        <v>1300</v>
      </c>
      <c r="K24" s="207">
        <f t="shared" si="11"/>
        <v>1300</v>
      </c>
      <c r="L24" s="207">
        <f t="shared" si="11"/>
        <v>1300</v>
      </c>
      <c r="M24" s="207">
        <f t="shared" si="11"/>
        <v>1300</v>
      </c>
      <c r="N24" s="207">
        <f t="shared" si="11"/>
        <v>1300</v>
      </c>
      <c r="O24" s="207">
        <f t="shared" si="11"/>
        <v>1300</v>
      </c>
      <c r="P24" s="207">
        <f t="shared" si="11"/>
        <v>1300</v>
      </c>
      <c r="Q24" s="207">
        <f t="shared" si="11"/>
        <v>1300</v>
      </c>
      <c r="R24" s="207">
        <f t="shared" si="11"/>
        <v>1300</v>
      </c>
      <c r="S24" s="207">
        <f t="shared" si="11"/>
        <v>1300</v>
      </c>
      <c r="T24" s="207">
        <f t="shared" si="11"/>
        <v>1300</v>
      </c>
      <c r="U24" s="207">
        <f>T24</f>
        <v>1300</v>
      </c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4.25">
      <c r="A25" s="85">
        <f t="shared" si="5"/>
        <v>25</v>
      </c>
      <c r="B25" s="86" t="str">
        <f t="shared" si="4"/>
        <v xml:space="preserve">      1590 Accumulated Amortization</v>
      </c>
      <c r="C25" s="46"/>
      <c r="D25" s="46"/>
      <c r="E25" s="46"/>
      <c r="F25" s="46"/>
      <c r="G25" s="46"/>
      <c r="H25" s="205" t="s">
        <v>209</v>
      </c>
      <c r="I25" s="207">
        <f>-9194.75</f>
        <v>-9194.75</v>
      </c>
      <c r="J25" s="207">
        <f t="shared" si="11"/>
        <v>-9194.75</v>
      </c>
      <c r="K25" s="207">
        <f t="shared" si="11"/>
        <v>-9194.75</v>
      </c>
      <c r="L25" s="207">
        <f t="shared" si="11"/>
        <v>-9194.75</v>
      </c>
      <c r="M25" s="207">
        <f t="shared" si="11"/>
        <v>-9194.75</v>
      </c>
      <c r="N25" s="207">
        <f t="shared" si="11"/>
        <v>-9194.75</v>
      </c>
      <c r="O25" s="207">
        <f t="shared" si="11"/>
        <v>-9194.75</v>
      </c>
      <c r="P25" s="207">
        <f t="shared" si="11"/>
        <v>-9194.75</v>
      </c>
      <c r="Q25" s="207">
        <f t="shared" si="11"/>
        <v>-9194.75</v>
      </c>
      <c r="R25" s="207">
        <f t="shared" si="11"/>
        <v>-9194.75</v>
      </c>
      <c r="S25" s="207">
        <f t="shared" si="11"/>
        <v>-9194.75</v>
      </c>
      <c r="T25" s="207">
        <f t="shared" si="11"/>
        <v>-9194.75</v>
      </c>
      <c r="U25" s="207">
        <f>-16710.55</f>
        <v>-16710.55</v>
      </c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4.25">
      <c r="A26" s="85">
        <f t="shared" si="5"/>
        <v>26</v>
      </c>
      <c r="B26" s="86" t="str">
        <f t="shared" si="4"/>
        <v xml:space="preserve">   Total Fixed Assets</v>
      </c>
      <c r="C26" s="46"/>
      <c r="D26" s="46"/>
      <c r="E26" s="46"/>
      <c r="F26" s="46"/>
      <c r="G26" s="46"/>
      <c r="H26" s="205" t="s">
        <v>202</v>
      </c>
      <c r="I26" s="208">
        <f t="shared" ref="I26:U26" si="12">((((I21)+(I22))+(I23))+(I24))+(I25)</f>
        <v>29684.25</v>
      </c>
      <c r="J26" s="208">
        <f t="shared" si="12"/>
        <v>29684.25</v>
      </c>
      <c r="K26" s="208">
        <f t="shared" si="12"/>
        <v>29684.25</v>
      </c>
      <c r="L26" s="208">
        <f t="shared" si="12"/>
        <v>29684.25</v>
      </c>
      <c r="M26" s="208">
        <f t="shared" si="12"/>
        <v>29684.25</v>
      </c>
      <c r="N26" s="208">
        <f t="shared" si="12"/>
        <v>29684.25</v>
      </c>
      <c r="O26" s="208">
        <f t="shared" si="12"/>
        <v>29684.25</v>
      </c>
      <c r="P26" s="208">
        <f t="shared" si="12"/>
        <v>29684.25</v>
      </c>
      <c r="Q26" s="208">
        <f t="shared" si="12"/>
        <v>29684.25</v>
      </c>
      <c r="R26" s="208">
        <f t="shared" si="12"/>
        <v>29684.25</v>
      </c>
      <c r="S26" s="208">
        <f t="shared" si="12"/>
        <v>29684.25</v>
      </c>
      <c r="T26" s="208">
        <f t="shared" si="12"/>
        <v>29684.25</v>
      </c>
      <c r="U26" s="208">
        <f t="shared" si="12"/>
        <v>24691.180000000004</v>
      </c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ht="14.25">
      <c r="A27" s="85">
        <f t="shared" si="5"/>
        <v>27</v>
      </c>
      <c r="B27" s="86" t="str">
        <f t="shared" si="4"/>
        <v xml:space="preserve">   Other Assets</v>
      </c>
      <c r="C27" s="46"/>
      <c r="D27" s="46"/>
      <c r="E27" s="46"/>
      <c r="F27" s="46"/>
      <c r="G27" s="46"/>
      <c r="H27" s="205" t="s">
        <v>111</v>
      </c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ht="14.25">
      <c r="A28" s="85">
        <f t="shared" si="5"/>
        <v>28</v>
      </c>
      <c r="B28" s="86" t="str">
        <f t="shared" si="4"/>
        <v xml:space="preserve">      1800 Security Deposits</v>
      </c>
      <c r="C28" s="46"/>
      <c r="D28" s="46"/>
      <c r="E28" s="46"/>
      <c r="F28" s="46"/>
      <c r="G28" s="46"/>
      <c r="H28" s="205" t="s">
        <v>11</v>
      </c>
      <c r="I28" s="207">
        <f>1800</f>
        <v>1800</v>
      </c>
      <c r="J28" s="207">
        <f t="shared" ref="J28:U28" si="13">I28</f>
        <v>1800</v>
      </c>
      <c r="K28" s="207">
        <f t="shared" si="13"/>
        <v>1800</v>
      </c>
      <c r="L28" s="207">
        <f t="shared" si="13"/>
        <v>1800</v>
      </c>
      <c r="M28" s="207">
        <f t="shared" si="13"/>
        <v>1800</v>
      </c>
      <c r="N28" s="207">
        <f t="shared" si="13"/>
        <v>1800</v>
      </c>
      <c r="O28" s="207">
        <f t="shared" si="13"/>
        <v>1800</v>
      </c>
      <c r="P28" s="207">
        <f t="shared" si="13"/>
        <v>1800</v>
      </c>
      <c r="Q28" s="207">
        <f t="shared" si="13"/>
        <v>1800</v>
      </c>
      <c r="R28" s="207">
        <f t="shared" si="13"/>
        <v>1800</v>
      </c>
      <c r="S28" s="207">
        <f t="shared" si="13"/>
        <v>1800</v>
      </c>
      <c r="T28" s="207">
        <f t="shared" si="13"/>
        <v>1800</v>
      </c>
      <c r="U28" s="207">
        <f t="shared" si="13"/>
        <v>1800</v>
      </c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ht="14.25">
      <c r="A29" s="85">
        <f t="shared" si="5"/>
        <v>29</v>
      </c>
      <c r="B29" s="86" t="str">
        <f t="shared" si="4"/>
        <v xml:space="preserve">   Total Other Assets</v>
      </c>
      <c r="C29" s="46"/>
      <c r="D29" s="46"/>
      <c r="E29" s="46"/>
      <c r="F29" s="46"/>
      <c r="G29" s="46"/>
      <c r="H29" s="205" t="s">
        <v>112</v>
      </c>
      <c r="I29" s="208">
        <f t="shared" ref="I29:U29" si="14">I28</f>
        <v>1800</v>
      </c>
      <c r="J29" s="208">
        <f t="shared" si="14"/>
        <v>1800</v>
      </c>
      <c r="K29" s="208">
        <f t="shared" si="14"/>
        <v>1800</v>
      </c>
      <c r="L29" s="208">
        <f t="shared" si="14"/>
        <v>1800</v>
      </c>
      <c r="M29" s="208">
        <f t="shared" si="14"/>
        <v>1800</v>
      </c>
      <c r="N29" s="208">
        <f t="shared" si="14"/>
        <v>1800</v>
      </c>
      <c r="O29" s="208">
        <f t="shared" si="14"/>
        <v>1800</v>
      </c>
      <c r="P29" s="208">
        <f t="shared" si="14"/>
        <v>1800</v>
      </c>
      <c r="Q29" s="208">
        <f t="shared" si="14"/>
        <v>1800</v>
      </c>
      <c r="R29" s="208">
        <f t="shared" si="14"/>
        <v>1800</v>
      </c>
      <c r="S29" s="208">
        <f t="shared" si="14"/>
        <v>1800</v>
      </c>
      <c r="T29" s="208">
        <f t="shared" si="14"/>
        <v>1800</v>
      </c>
      <c r="U29" s="208">
        <f t="shared" si="14"/>
        <v>1800</v>
      </c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ht="14.25">
      <c r="A30" s="85">
        <f t="shared" si="5"/>
        <v>30</v>
      </c>
      <c r="B30" s="86" t="str">
        <f t="shared" si="4"/>
        <v>TOTAL ASSETS</v>
      </c>
      <c r="C30" s="46"/>
      <c r="D30" s="46"/>
      <c r="E30" s="46"/>
      <c r="F30" s="46"/>
      <c r="G30" s="46"/>
      <c r="H30" s="205" t="s">
        <v>113</v>
      </c>
      <c r="I30" s="208">
        <f t="shared" ref="I30:U30" si="15">((I19)+(I26))+(I29)</f>
        <v>61053.479999999996</v>
      </c>
      <c r="J30" s="208">
        <f t="shared" si="15"/>
        <v>61987.35</v>
      </c>
      <c r="K30" s="208">
        <f t="shared" si="15"/>
        <v>55848.979999999996</v>
      </c>
      <c r="L30" s="208">
        <f t="shared" si="15"/>
        <v>48705.46</v>
      </c>
      <c r="M30" s="208">
        <f t="shared" si="15"/>
        <v>43056.68</v>
      </c>
      <c r="N30" s="208">
        <f t="shared" si="15"/>
        <v>38726.839999999997</v>
      </c>
      <c r="O30" s="208">
        <f t="shared" si="15"/>
        <v>95747.87</v>
      </c>
      <c r="P30" s="208">
        <f t="shared" si="15"/>
        <v>106125.16</v>
      </c>
      <c r="Q30" s="208">
        <f t="shared" si="15"/>
        <v>109279.38</v>
      </c>
      <c r="R30" s="208">
        <f t="shared" si="15"/>
        <v>109605.13</v>
      </c>
      <c r="S30" s="208">
        <f t="shared" si="15"/>
        <v>152937.70000000001</v>
      </c>
      <c r="T30" s="208">
        <f t="shared" si="15"/>
        <v>155047.78999999998</v>
      </c>
      <c r="U30" s="208">
        <f t="shared" si="15"/>
        <v>134131.57</v>
      </c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ht="14.25">
      <c r="A31" s="85">
        <f t="shared" si="5"/>
        <v>31</v>
      </c>
      <c r="B31" s="86" t="str">
        <f t="shared" si="4"/>
        <v>LIABILITIES AND EQUITY</v>
      </c>
      <c r="C31" s="46"/>
      <c r="D31" s="46"/>
      <c r="E31" s="46"/>
      <c r="F31" s="46"/>
      <c r="G31" s="46"/>
      <c r="H31" s="205" t="s">
        <v>114</v>
      </c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ht="14.25">
      <c r="A32" s="85">
        <f t="shared" si="5"/>
        <v>32</v>
      </c>
      <c r="B32" s="86" t="str">
        <f t="shared" si="4"/>
        <v xml:space="preserve">   Liabilities</v>
      </c>
      <c r="C32" s="46"/>
      <c r="D32" s="46"/>
      <c r="E32" s="46"/>
      <c r="F32" s="46"/>
      <c r="G32" s="46"/>
      <c r="H32" s="205" t="s">
        <v>115</v>
      </c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ht="14.25">
      <c r="A33" s="85">
        <f t="shared" si="5"/>
        <v>33</v>
      </c>
      <c r="B33" s="86" t="str">
        <f t="shared" si="4"/>
        <v xml:space="preserve">      Current Liabilities</v>
      </c>
      <c r="C33" s="46"/>
      <c r="D33" s="46"/>
      <c r="E33" s="46"/>
      <c r="F33" s="46"/>
      <c r="G33" s="46"/>
      <c r="H33" s="205" t="s">
        <v>171</v>
      </c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ht="14.25">
      <c r="A34" s="85">
        <f t="shared" si="5"/>
        <v>34</v>
      </c>
      <c r="B34" s="86" t="str">
        <f t="shared" si="4"/>
        <v xml:space="preserve">         Accounts Payable</v>
      </c>
      <c r="C34" s="46"/>
      <c r="D34" s="46"/>
      <c r="E34" s="46"/>
      <c r="F34" s="46"/>
      <c r="G34" s="46"/>
      <c r="H34" s="205" t="s">
        <v>172</v>
      </c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ht="14.25">
      <c r="A35" s="85">
        <f t="shared" si="5"/>
        <v>35</v>
      </c>
      <c r="B35" s="86" t="str">
        <f t="shared" si="4"/>
        <v xml:space="preserve">            2100 Accounts Payable (A/P)</v>
      </c>
      <c r="C35" s="46"/>
      <c r="D35" s="46"/>
      <c r="E35" s="46"/>
      <c r="F35" s="46"/>
      <c r="G35" s="46"/>
      <c r="H35" s="205" t="s">
        <v>173</v>
      </c>
      <c r="I35" s="207">
        <f>0</f>
        <v>0</v>
      </c>
      <c r="J35" s="207">
        <f>I35</f>
        <v>0</v>
      </c>
      <c r="K35" s="207">
        <f>J35</f>
        <v>0</v>
      </c>
      <c r="L35" s="207">
        <f>K35</f>
        <v>0</v>
      </c>
      <c r="M35" s="207">
        <f>810</f>
        <v>810</v>
      </c>
      <c r="N35" s="207">
        <f>M35</f>
        <v>810</v>
      </c>
      <c r="O35" s="207">
        <f>0</f>
        <v>0</v>
      </c>
      <c r="P35" s="207">
        <f>O35</f>
        <v>0</v>
      </c>
      <c r="Q35" s="207">
        <f>0</f>
        <v>0</v>
      </c>
      <c r="R35" s="207">
        <f>Q35</f>
        <v>0</v>
      </c>
      <c r="S35" s="207">
        <f>R35</f>
        <v>0</v>
      </c>
      <c r="T35" s="207">
        <f>810</f>
        <v>810</v>
      </c>
      <c r="U35" s="207">
        <f>0</f>
        <v>0</v>
      </c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ht="14.25">
      <c r="A36" s="85">
        <f t="shared" si="5"/>
        <v>36</v>
      </c>
      <c r="B36" s="86" t="str">
        <f t="shared" si="4"/>
        <v xml:space="preserve">         Total Accounts Payable</v>
      </c>
      <c r="C36" s="46"/>
      <c r="D36" s="46"/>
      <c r="E36" s="46"/>
      <c r="F36" s="46"/>
      <c r="G36" s="46"/>
      <c r="H36" s="205" t="s">
        <v>23</v>
      </c>
      <c r="I36" s="208">
        <f t="shared" ref="I36:U36" si="16">I35</f>
        <v>0</v>
      </c>
      <c r="J36" s="208">
        <f t="shared" si="16"/>
        <v>0</v>
      </c>
      <c r="K36" s="208">
        <f t="shared" si="16"/>
        <v>0</v>
      </c>
      <c r="L36" s="208">
        <f t="shared" si="16"/>
        <v>0</v>
      </c>
      <c r="M36" s="208">
        <f t="shared" si="16"/>
        <v>810</v>
      </c>
      <c r="N36" s="208">
        <f t="shared" si="16"/>
        <v>810</v>
      </c>
      <c r="O36" s="208">
        <f t="shared" si="16"/>
        <v>0</v>
      </c>
      <c r="P36" s="208">
        <f t="shared" si="16"/>
        <v>0</v>
      </c>
      <c r="Q36" s="208">
        <f t="shared" si="16"/>
        <v>0</v>
      </c>
      <c r="R36" s="208">
        <f t="shared" si="16"/>
        <v>0</v>
      </c>
      <c r="S36" s="208">
        <f t="shared" si="16"/>
        <v>0</v>
      </c>
      <c r="T36" s="208">
        <f t="shared" si="16"/>
        <v>810</v>
      </c>
      <c r="U36" s="208">
        <f t="shared" si="16"/>
        <v>0</v>
      </c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ht="14.25">
      <c r="A37" s="85">
        <f t="shared" si="5"/>
        <v>37</v>
      </c>
      <c r="B37" s="86" t="str">
        <f t="shared" si="4"/>
        <v xml:space="preserve">         Other Current Liabilities</v>
      </c>
      <c r="C37" s="46"/>
      <c r="D37" s="46"/>
      <c r="E37" s="46"/>
      <c r="F37" s="46"/>
      <c r="G37" s="46"/>
      <c r="H37" s="205" t="s">
        <v>174</v>
      </c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ht="14.25">
      <c r="A38" s="85">
        <f t="shared" si="5"/>
        <v>38</v>
      </c>
      <c r="B38" s="86" t="str">
        <f t="shared" si="4"/>
        <v xml:space="preserve">            2300 Payroll Liabilities</v>
      </c>
      <c r="C38" s="46"/>
      <c r="D38" s="46"/>
      <c r="E38" s="46"/>
      <c r="F38" s="46"/>
      <c r="G38" s="46"/>
      <c r="H38" s="205" t="s">
        <v>29</v>
      </c>
      <c r="I38" s="206"/>
      <c r="J38" s="207">
        <f>11968.98</f>
        <v>11968.98</v>
      </c>
      <c r="K38" s="207">
        <f>23937.96</f>
        <v>23937.96</v>
      </c>
      <c r="L38" s="207">
        <f>35906.94</f>
        <v>35906.94</v>
      </c>
      <c r="M38" s="207">
        <f>47875.92</f>
        <v>47875.92</v>
      </c>
      <c r="N38" s="207">
        <f>59844.9</f>
        <v>59844.9</v>
      </c>
      <c r="O38" s="207">
        <f>71813.88</f>
        <v>71813.88</v>
      </c>
      <c r="P38" s="207">
        <f>83782.86</f>
        <v>83782.86</v>
      </c>
      <c r="Q38" s="207">
        <f>95751.84</f>
        <v>95751.84</v>
      </c>
      <c r="R38" s="207">
        <f>107720.82</f>
        <v>107720.82</v>
      </c>
      <c r="S38" s="207">
        <f>119689.8</f>
        <v>119689.8</v>
      </c>
      <c r="T38" s="207">
        <f>131658.78</f>
        <v>131658.78</v>
      </c>
      <c r="U38" s="207">
        <f>0</f>
        <v>0</v>
      </c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ht="14.25">
      <c r="A39" s="85">
        <f t="shared" si="5"/>
        <v>39</v>
      </c>
      <c r="B39" s="86" t="str">
        <f t="shared" si="4"/>
        <v xml:space="preserve">               2310 Federal Taxes (941/944)</v>
      </c>
      <c r="C39" s="46"/>
      <c r="D39" s="46"/>
      <c r="E39" s="46"/>
      <c r="F39" s="46"/>
      <c r="G39" s="46"/>
      <c r="H39" s="205" t="s">
        <v>210</v>
      </c>
      <c r="I39" s="207">
        <f>0</f>
        <v>0</v>
      </c>
      <c r="J39" s="207">
        <f t="shared" ref="J39:U41" si="17">I39</f>
        <v>0</v>
      </c>
      <c r="K39" s="207">
        <f t="shared" si="17"/>
        <v>0</v>
      </c>
      <c r="L39" s="207">
        <f t="shared" si="17"/>
        <v>0</v>
      </c>
      <c r="M39" s="207">
        <f t="shared" si="17"/>
        <v>0</v>
      </c>
      <c r="N39" s="207">
        <f t="shared" si="17"/>
        <v>0</v>
      </c>
      <c r="O39" s="207">
        <f t="shared" si="17"/>
        <v>0</v>
      </c>
      <c r="P39" s="207">
        <f t="shared" si="17"/>
        <v>0</v>
      </c>
      <c r="Q39" s="207">
        <f t="shared" si="17"/>
        <v>0</v>
      </c>
      <c r="R39" s="207">
        <f t="shared" si="17"/>
        <v>0</v>
      </c>
      <c r="S39" s="207">
        <f t="shared" si="17"/>
        <v>0</v>
      </c>
      <c r="T39" s="207">
        <f t="shared" si="17"/>
        <v>0</v>
      </c>
      <c r="U39" s="207">
        <f t="shared" si="17"/>
        <v>0</v>
      </c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ht="14.25">
      <c r="A40" s="85">
        <f t="shared" si="5"/>
        <v>40</v>
      </c>
      <c r="B40" s="86" t="str">
        <f t="shared" si="4"/>
        <v xml:space="preserve">               2320 NYS Employment Taxes</v>
      </c>
      <c r="C40" s="46"/>
      <c r="D40" s="46"/>
      <c r="E40" s="46"/>
      <c r="F40" s="46"/>
      <c r="G40" s="46"/>
      <c r="H40" s="205" t="s">
        <v>211</v>
      </c>
      <c r="I40" s="207">
        <f>0</f>
        <v>0</v>
      </c>
      <c r="J40" s="207">
        <f t="shared" si="17"/>
        <v>0</v>
      </c>
      <c r="K40" s="207">
        <f t="shared" si="17"/>
        <v>0</v>
      </c>
      <c r="L40" s="207">
        <f t="shared" si="17"/>
        <v>0</v>
      </c>
      <c r="M40" s="207">
        <f t="shared" si="17"/>
        <v>0</v>
      </c>
      <c r="N40" s="207">
        <f t="shared" si="17"/>
        <v>0</v>
      </c>
      <c r="O40" s="207">
        <f t="shared" si="17"/>
        <v>0</v>
      </c>
      <c r="P40" s="207">
        <f t="shared" si="17"/>
        <v>0</v>
      </c>
      <c r="Q40" s="207">
        <f t="shared" si="17"/>
        <v>0</v>
      </c>
      <c r="R40" s="207">
        <f t="shared" si="17"/>
        <v>0</v>
      </c>
      <c r="S40" s="207">
        <f t="shared" si="17"/>
        <v>0</v>
      </c>
      <c r="T40" s="207">
        <f t="shared" si="17"/>
        <v>0</v>
      </c>
      <c r="U40" s="207">
        <f t="shared" si="17"/>
        <v>0</v>
      </c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8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ht="14.25">
      <c r="A41" s="85">
        <f t="shared" si="5"/>
        <v>41</v>
      </c>
      <c r="B41" s="86" t="str">
        <f t="shared" si="4"/>
        <v xml:space="preserve">               2330 NYS Income Tax</v>
      </c>
      <c r="C41" s="46"/>
      <c r="D41" s="46"/>
      <c r="E41" s="46"/>
      <c r="F41" s="46"/>
      <c r="G41" s="46"/>
      <c r="H41" s="205" t="s">
        <v>212</v>
      </c>
      <c r="I41" s="207">
        <f>0</f>
        <v>0</v>
      </c>
      <c r="J41" s="207">
        <f t="shared" si="17"/>
        <v>0</v>
      </c>
      <c r="K41" s="207">
        <f t="shared" si="17"/>
        <v>0</v>
      </c>
      <c r="L41" s="207">
        <f t="shared" si="17"/>
        <v>0</v>
      </c>
      <c r="M41" s="207">
        <f t="shared" si="17"/>
        <v>0</v>
      </c>
      <c r="N41" s="207">
        <f t="shared" si="17"/>
        <v>0</v>
      </c>
      <c r="O41" s="207">
        <f t="shared" si="17"/>
        <v>0</v>
      </c>
      <c r="P41" s="207">
        <f t="shared" si="17"/>
        <v>0</v>
      </c>
      <c r="Q41" s="207">
        <f t="shared" si="17"/>
        <v>0</v>
      </c>
      <c r="R41" s="207">
        <f t="shared" si="17"/>
        <v>0</v>
      </c>
      <c r="S41" s="207">
        <f t="shared" si="17"/>
        <v>0</v>
      </c>
      <c r="T41" s="207">
        <f t="shared" si="17"/>
        <v>0</v>
      </c>
      <c r="U41" s="207">
        <f t="shared" si="17"/>
        <v>0</v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8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ht="14.25">
      <c r="A42" s="85">
        <f t="shared" si="5"/>
        <v>42</v>
      </c>
      <c r="B42" s="86" t="str">
        <f t="shared" si="4"/>
        <v xml:space="preserve">            Total 2300 Payroll Liabilities</v>
      </c>
      <c r="C42" s="46"/>
      <c r="D42" s="46"/>
      <c r="E42" s="46"/>
      <c r="F42" s="46"/>
      <c r="G42" s="46"/>
      <c r="H42" s="205" t="s">
        <v>203</v>
      </c>
      <c r="I42" s="208">
        <f t="shared" ref="I42:U42" si="18">(((I38)+(I39))+(I40))+(I41)</f>
        <v>0</v>
      </c>
      <c r="J42" s="208">
        <f t="shared" si="18"/>
        <v>11968.98</v>
      </c>
      <c r="K42" s="208">
        <f t="shared" si="18"/>
        <v>23937.96</v>
      </c>
      <c r="L42" s="208">
        <f t="shared" si="18"/>
        <v>35906.94</v>
      </c>
      <c r="M42" s="208">
        <f t="shared" si="18"/>
        <v>47875.92</v>
      </c>
      <c r="N42" s="208">
        <f t="shared" si="18"/>
        <v>59844.9</v>
      </c>
      <c r="O42" s="208">
        <f t="shared" si="18"/>
        <v>71813.88</v>
      </c>
      <c r="P42" s="208">
        <f t="shared" si="18"/>
        <v>83782.86</v>
      </c>
      <c r="Q42" s="208">
        <f t="shared" si="18"/>
        <v>95751.84</v>
      </c>
      <c r="R42" s="208">
        <f t="shared" si="18"/>
        <v>107720.82</v>
      </c>
      <c r="S42" s="208">
        <f t="shared" si="18"/>
        <v>119689.8</v>
      </c>
      <c r="T42" s="208">
        <f t="shared" si="18"/>
        <v>131658.78</v>
      </c>
      <c r="U42" s="208">
        <f t="shared" si="18"/>
        <v>0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8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4.25">
      <c r="A43" s="85">
        <f t="shared" si="5"/>
        <v>43</v>
      </c>
      <c r="B43" s="86" t="str">
        <f t="shared" si="4"/>
        <v xml:space="preserve">            2400 Accrued Expenses</v>
      </c>
      <c r="C43" s="46"/>
      <c r="D43" s="46"/>
      <c r="E43" s="46"/>
      <c r="F43" s="46"/>
      <c r="G43" s="46"/>
      <c r="H43" s="205" t="s">
        <v>27</v>
      </c>
      <c r="I43" s="207">
        <f>2812.36</f>
        <v>2812.36</v>
      </c>
      <c r="J43" s="207">
        <f>4928.08</f>
        <v>4928.08</v>
      </c>
      <c r="K43" s="207">
        <f t="shared" ref="K43:N44" si="19">J43</f>
        <v>4928.08</v>
      </c>
      <c r="L43" s="207">
        <f t="shared" si="19"/>
        <v>4928.08</v>
      </c>
      <c r="M43" s="207">
        <f t="shared" si="19"/>
        <v>4928.08</v>
      </c>
      <c r="N43" s="207">
        <f t="shared" si="19"/>
        <v>4928.08</v>
      </c>
      <c r="O43" s="207">
        <f>7043.8</f>
        <v>7043.8</v>
      </c>
      <c r="P43" s="207">
        <f>9159.52</f>
        <v>9159.52</v>
      </c>
      <c r="Q43" s="207">
        <f>11275.24</f>
        <v>11275.24</v>
      </c>
      <c r="R43" s="207">
        <f>13390.96</f>
        <v>13390.96</v>
      </c>
      <c r="S43" s="207">
        <f>14349.48</f>
        <v>14349.48</v>
      </c>
      <c r="T43" s="207">
        <f>S43</f>
        <v>14349.48</v>
      </c>
      <c r="U43" s="207">
        <f>T43</f>
        <v>14349.48</v>
      </c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8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ht="14.25">
      <c r="A44" s="85">
        <f t="shared" si="5"/>
        <v>44</v>
      </c>
      <c r="B44" s="86" t="str">
        <f t="shared" si="4"/>
        <v xml:space="preserve">            2900 Direct Deposit Payable</v>
      </c>
      <c r="C44" s="46"/>
      <c r="D44" s="46"/>
      <c r="E44" s="46"/>
      <c r="F44" s="46"/>
      <c r="G44" s="46"/>
      <c r="H44" s="205" t="s">
        <v>213</v>
      </c>
      <c r="I44" s="207">
        <f>0</f>
        <v>0</v>
      </c>
      <c r="J44" s="207">
        <f>I44</f>
        <v>0</v>
      </c>
      <c r="K44" s="207">
        <f t="shared" si="19"/>
        <v>0</v>
      </c>
      <c r="L44" s="207">
        <f t="shared" si="19"/>
        <v>0</v>
      </c>
      <c r="M44" s="207">
        <f t="shared" si="19"/>
        <v>0</v>
      </c>
      <c r="N44" s="207">
        <f t="shared" si="19"/>
        <v>0</v>
      </c>
      <c r="O44" s="207">
        <f>N44</f>
        <v>0</v>
      </c>
      <c r="P44" s="207">
        <f>O44</f>
        <v>0</v>
      </c>
      <c r="Q44" s="207">
        <f>P44</f>
        <v>0</v>
      </c>
      <c r="R44" s="207">
        <f>Q44</f>
        <v>0</v>
      </c>
      <c r="S44" s="207">
        <f>R44</f>
        <v>0</v>
      </c>
      <c r="T44" s="207">
        <f>S44</f>
        <v>0</v>
      </c>
      <c r="U44" s="207">
        <f>T44</f>
        <v>0</v>
      </c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8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ht="14.25">
      <c r="A45" s="85">
        <f t="shared" si="5"/>
        <v>45</v>
      </c>
      <c r="B45" s="86" t="str">
        <f t="shared" si="4"/>
        <v xml:space="preserve">         Total Other Current Liabilities</v>
      </c>
      <c r="C45" s="46"/>
      <c r="D45" s="46"/>
      <c r="E45" s="46"/>
      <c r="F45" s="46"/>
      <c r="G45" s="46"/>
      <c r="H45" s="205" t="s">
        <v>175</v>
      </c>
      <c r="I45" s="208">
        <f t="shared" ref="I45:U45" si="20">((I42)+(I43))+(I44)</f>
        <v>2812.36</v>
      </c>
      <c r="J45" s="208">
        <f t="shared" si="20"/>
        <v>16897.059999999998</v>
      </c>
      <c r="K45" s="208">
        <f t="shared" si="20"/>
        <v>28866.04</v>
      </c>
      <c r="L45" s="208">
        <f t="shared" si="20"/>
        <v>40835.020000000004</v>
      </c>
      <c r="M45" s="208">
        <f t="shared" si="20"/>
        <v>52804</v>
      </c>
      <c r="N45" s="208">
        <f t="shared" si="20"/>
        <v>64772.98</v>
      </c>
      <c r="O45" s="208">
        <f t="shared" si="20"/>
        <v>78857.680000000008</v>
      </c>
      <c r="P45" s="208">
        <f t="shared" si="20"/>
        <v>92942.38</v>
      </c>
      <c r="Q45" s="208">
        <f t="shared" si="20"/>
        <v>107027.08</v>
      </c>
      <c r="R45" s="208">
        <f t="shared" si="20"/>
        <v>121111.78</v>
      </c>
      <c r="S45" s="208">
        <f t="shared" si="20"/>
        <v>134039.28</v>
      </c>
      <c r="T45" s="208">
        <f t="shared" si="20"/>
        <v>146008.26</v>
      </c>
      <c r="U45" s="208">
        <f t="shared" si="20"/>
        <v>14349.48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8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ht="14.25">
      <c r="A46" s="85">
        <f t="shared" si="5"/>
        <v>46</v>
      </c>
      <c r="B46" s="86" t="str">
        <f t="shared" si="4"/>
        <v xml:space="preserve">      Total Current Liabilities</v>
      </c>
      <c r="C46" s="46"/>
      <c r="D46" s="46"/>
      <c r="E46" s="46"/>
      <c r="F46" s="46"/>
      <c r="G46" s="46"/>
      <c r="H46" s="205" t="s">
        <v>176</v>
      </c>
      <c r="I46" s="208">
        <f t="shared" ref="I46:U46" si="21">(I36)+(I45)</f>
        <v>2812.36</v>
      </c>
      <c r="J46" s="208">
        <f t="shared" si="21"/>
        <v>16897.059999999998</v>
      </c>
      <c r="K46" s="208">
        <f t="shared" si="21"/>
        <v>28866.04</v>
      </c>
      <c r="L46" s="208">
        <f t="shared" si="21"/>
        <v>40835.020000000004</v>
      </c>
      <c r="M46" s="208">
        <f t="shared" si="21"/>
        <v>53614</v>
      </c>
      <c r="N46" s="208">
        <f t="shared" si="21"/>
        <v>65582.98000000001</v>
      </c>
      <c r="O46" s="208">
        <f t="shared" si="21"/>
        <v>78857.680000000008</v>
      </c>
      <c r="P46" s="208">
        <f t="shared" si="21"/>
        <v>92942.38</v>
      </c>
      <c r="Q46" s="208">
        <f t="shared" si="21"/>
        <v>107027.08</v>
      </c>
      <c r="R46" s="208">
        <f t="shared" si="21"/>
        <v>121111.78</v>
      </c>
      <c r="S46" s="208">
        <f t="shared" si="21"/>
        <v>134039.28</v>
      </c>
      <c r="T46" s="208">
        <f t="shared" si="21"/>
        <v>146818.26</v>
      </c>
      <c r="U46" s="208">
        <f t="shared" si="21"/>
        <v>14349.48</v>
      </c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8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4.25">
      <c r="A47" s="85">
        <f t="shared" si="5"/>
        <v>47</v>
      </c>
      <c r="B47" s="86" t="str">
        <f t="shared" si="4"/>
        <v xml:space="preserve">   Total Liabilities</v>
      </c>
      <c r="C47" s="46"/>
      <c r="D47" s="46"/>
      <c r="E47" s="46"/>
      <c r="F47" s="46"/>
      <c r="G47" s="46"/>
      <c r="H47" s="205" t="s">
        <v>116</v>
      </c>
      <c r="I47" s="208">
        <f t="shared" ref="I47:U47" si="22">I46</f>
        <v>2812.36</v>
      </c>
      <c r="J47" s="208">
        <f t="shared" si="22"/>
        <v>16897.059999999998</v>
      </c>
      <c r="K47" s="208">
        <f t="shared" si="22"/>
        <v>28866.04</v>
      </c>
      <c r="L47" s="208">
        <f t="shared" si="22"/>
        <v>40835.020000000004</v>
      </c>
      <c r="M47" s="208">
        <f t="shared" si="22"/>
        <v>53614</v>
      </c>
      <c r="N47" s="208">
        <f t="shared" si="22"/>
        <v>65582.98000000001</v>
      </c>
      <c r="O47" s="208">
        <f t="shared" si="22"/>
        <v>78857.680000000008</v>
      </c>
      <c r="P47" s="208">
        <f t="shared" si="22"/>
        <v>92942.38</v>
      </c>
      <c r="Q47" s="208">
        <f t="shared" si="22"/>
        <v>107027.08</v>
      </c>
      <c r="R47" s="208">
        <f t="shared" si="22"/>
        <v>121111.78</v>
      </c>
      <c r="S47" s="208">
        <f t="shared" si="22"/>
        <v>134039.28</v>
      </c>
      <c r="T47" s="208">
        <f t="shared" si="22"/>
        <v>146818.26</v>
      </c>
      <c r="U47" s="208">
        <f t="shared" si="22"/>
        <v>14349.48</v>
      </c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ht="14.25">
      <c r="A48" s="85">
        <f t="shared" si="5"/>
        <v>48</v>
      </c>
      <c r="B48" s="86" t="str">
        <f t="shared" si="4"/>
        <v xml:space="preserve">   Equity</v>
      </c>
      <c r="C48" s="46"/>
      <c r="D48" s="46"/>
      <c r="E48" s="46"/>
      <c r="F48" s="46"/>
      <c r="G48" s="46"/>
      <c r="H48" s="205" t="s">
        <v>117</v>
      </c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ht="14.25">
      <c r="A49" s="85">
        <f t="shared" si="5"/>
        <v>49</v>
      </c>
      <c r="B49" s="86" t="str">
        <f t="shared" si="4"/>
        <v xml:space="preserve">      3000 Unrestricted Net Assets</v>
      </c>
      <c r="C49" s="46"/>
      <c r="D49" s="46"/>
      <c r="E49" s="46"/>
      <c r="F49" s="46"/>
      <c r="G49" s="46"/>
      <c r="H49" s="205" t="s">
        <v>39</v>
      </c>
      <c r="I49" s="207">
        <f>233122.49</f>
        <v>233122.49</v>
      </c>
      <c r="J49" s="207">
        <f>(I49)+(I50)</f>
        <v>58241.119999999995</v>
      </c>
      <c r="K49" s="207">
        <f t="shared" ref="K49:U49" si="23">J49</f>
        <v>58241.119999999995</v>
      </c>
      <c r="L49" s="207">
        <f t="shared" si="23"/>
        <v>58241.119999999995</v>
      </c>
      <c r="M49" s="207">
        <f t="shared" si="23"/>
        <v>58241.119999999995</v>
      </c>
      <c r="N49" s="207">
        <f t="shared" si="23"/>
        <v>58241.119999999995</v>
      </c>
      <c r="O49" s="207">
        <f t="shared" si="23"/>
        <v>58241.119999999995</v>
      </c>
      <c r="P49" s="207">
        <f t="shared" si="23"/>
        <v>58241.119999999995</v>
      </c>
      <c r="Q49" s="207">
        <f t="shared" si="23"/>
        <v>58241.119999999995</v>
      </c>
      <c r="R49" s="207">
        <f t="shared" si="23"/>
        <v>58241.119999999995</v>
      </c>
      <c r="S49" s="207">
        <f t="shared" si="23"/>
        <v>58241.119999999995</v>
      </c>
      <c r="T49" s="207">
        <f t="shared" si="23"/>
        <v>58241.119999999995</v>
      </c>
      <c r="U49" s="207">
        <f t="shared" si="23"/>
        <v>58241.119999999995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8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ht="14.25">
      <c r="A50" s="85">
        <f t="shared" si="5"/>
        <v>50</v>
      </c>
      <c r="B50" s="86" t="str">
        <f t="shared" si="4"/>
        <v xml:space="preserve">      Net Revenue</v>
      </c>
      <c r="C50" s="46"/>
      <c r="D50" s="46"/>
      <c r="E50" s="46"/>
      <c r="F50" s="46"/>
      <c r="G50" s="46"/>
      <c r="H50" s="205" t="s">
        <v>118</v>
      </c>
      <c r="I50" s="207">
        <f>-174881.37</f>
        <v>-174881.37</v>
      </c>
      <c r="J50" s="207">
        <f>-13150.83</f>
        <v>-13150.83</v>
      </c>
      <c r="K50" s="207">
        <f>-31258.18</f>
        <v>-31258.18</v>
      </c>
      <c r="L50" s="207">
        <f>-50370.68</f>
        <v>-50370.68</v>
      </c>
      <c r="M50" s="207">
        <f>-68798.44</f>
        <v>-68798.44</v>
      </c>
      <c r="N50" s="207">
        <f>-85097.26</f>
        <v>-85097.26</v>
      </c>
      <c r="O50" s="207">
        <f>-41350.93</f>
        <v>-41350.93</v>
      </c>
      <c r="P50" s="207">
        <f>-45058.34</f>
        <v>-45058.34</v>
      </c>
      <c r="Q50" s="207">
        <f>-55988.82</f>
        <v>-55988.82</v>
      </c>
      <c r="R50" s="207">
        <f>-69747.77</f>
        <v>-69747.77</v>
      </c>
      <c r="S50" s="207">
        <f>-39342.7</f>
        <v>-39342.699999999997</v>
      </c>
      <c r="T50" s="207">
        <f>-50011.59</f>
        <v>-50011.59</v>
      </c>
      <c r="U50" s="207">
        <f>61540.97</f>
        <v>61540.97</v>
      </c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8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ht="14.25">
      <c r="A51" s="85">
        <f t="shared" si="5"/>
        <v>51</v>
      </c>
      <c r="B51" s="86" t="str">
        <f t="shared" si="4"/>
        <v xml:space="preserve">   Total Equity</v>
      </c>
      <c r="C51" s="46"/>
      <c r="D51" s="46"/>
      <c r="E51" s="46"/>
      <c r="F51" s="46"/>
      <c r="G51" s="46"/>
      <c r="H51" s="205" t="s">
        <v>40</v>
      </c>
      <c r="I51" s="208">
        <f t="shared" ref="I51:U51" si="24">(I49)+(I50)</f>
        <v>58241.119999999995</v>
      </c>
      <c r="J51" s="208">
        <f t="shared" si="24"/>
        <v>45090.289999999994</v>
      </c>
      <c r="K51" s="208">
        <f t="shared" si="24"/>
        <v>26982.939999999995</v>
      </c>
      <c r="L51" s="208">
        <f t="shared" si="24"/>
        <v>7870.4399999999951</v>
      </c>
      <c r="M51" s="208">
        <f t="shared" si="24"/>
        <v>-10557.320000000007</v>
      </c>
      <c r="N51" s="208">
        <f t="shared" si="24"/>
        <v>-26856.14</v>
      </c>
      <c r="O51" s="208">
        <f t="shared" si="24"/>
        <v>16890.189999999995</v>
      </c>
      <c r="P51" s="208">
        <f t="shared" si="24"/>
        <v>13182.779999999999</v>
      </c>
      <c r="Q51" s="208">
        <f t="shared" si="24"/>
        <v>2252.2999999999956</v>
      </c>
      <c r="R51" s="208">
        <f t="shared" si="24"/>
        <v>-11506.650000000009</v>
      </c>
      <c r="S51" s="208">
        <f t="shared" si="24"/>
        <v>18898.419999999998</v>
      </c>
      <c r="T51" s="208">
        <f t="shared" si="24"/>
        <v>8229.5299999999988</v>
      </c>
      <c r="U51" s="208">
        <f t="shared" si="24"/>
        <v>119782.09</v>
      </c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8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ht="14.25">
      <c r="A52" s="85">
        <f t="shared" si="5"/>
        <v>52</v>
      </c>
      <c r="B52" s="86" t="str">
        <f t="shared" si="4"/>
        <v>TOTAL LIABILITIES AND EQUITY</v>
      </c>
      <c r="C52" s="46"/>
      <c r="D52" s="46"/>
      <c r="E52" s="46"/>
      <c r="F52" s="46"/>
      <c r="G52" s="46"/>
      <c r="H52" s="205" t="s">
        <v>119</v>
      </c>
      <c r="I52" s="208">
        <f t="shared" ref="I52:U52" si="25">(I47)+(I51)</f>
        <v>61053.479999999996</v>
      </c>
      <c r="J52" s="208">
        <f t="shared" si="25"/>
        <v>61987.349999999991</v>
      </c>
      <c r="K52" s="208">
        <f t="shared" si="25"/>
        <v>55848.979999999996</v>
      </c>
      <c r="L52" s="208">
        <f t="shared" si="25"/>
        <v>48705.46</v>
      </c>
      <c r="M52" s="208">
        <f t="shared" si="25"/>
        <v>43056.679999999993</v>
      </c>
      <c r="N52" s="208">
        <f t="shared" si="25"/>
        <v>38726.840000000011</v>
      </c>
      <c r="O52" s="208">
        <f t="shared" si="25"/>
        <v>95747.87</v>
      </c>
      <c r="P52" s="208">
        <f t="shared" si="25"/>
        <v>106125.16</v>
      </c>
      <c r="Q52" s="208">
        <f t="shared" si="25"/>
        <v>109279.38</v>
      </c>
      <c r="R52" s="208">
        <f t="shared" si="25"/>
        <v>109605.12999999999</v>
      </c>
      <c r="S52" s="208">
        <f t="shared" si="25"/>
        <v>152937.70000000001</v>
      </c>
      <c r="T52" s="208">
        <f t="shared" si="25"/>
        <v>155047.79</v>
      </c>
      <c r="U52" s="208">
        <f t="shared" si="25"/>
        <v>134131.57</v>
      </c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ht="14.25">
      <c r="A53" s="85">
        <f t="shared" si="5"/>
        <v>53</v>
      </c>
      <c r="B53" s="86" t="str">
        <f t="shared" si="4"/>
        <v/>
      </c>
      <c r="C53" s="46"/>
      <c r="D53" s="46"/>
      <c r="E53" s="46"/>
      <c r="F53" s="46"/>
      <c r="G53" s="46"/>
      <c r="H53" s="46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8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ht="14.25">
      <c r="A54" s="85">
        <f t="shared" si="5"/>
        <v>54</v>
      </c>
      <c r="B54" s="86" t="str">
        <f t="shared" si="4"/>
        <v/>
      </c>
      <c r="C54" s="46"/>
      <c r="D54" s="46"/>
      <c r="E54" s="46"/>
      <c r="F54" s="46"/>
      <c r="G54" s="46"/>
      <c r="H54" s="4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8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ht="14.25">
      <c r="A55" s="85">
        <f t="shared" si="5"/>
        <v>55</v>
      </c>
      <c r="B55" s="86" t="str">
        <f t="shared" si="4"/>
        <v/>
      </c>
      <c r="C55" s="46"/>
      <c r="D55" s="46"/>
      <c r="E55" s="46"/>
      <c r="F55" s="46"/>
      <c r="G55" s="46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8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ht="14.25">
      <c r="A56" s="85">
        <f t="shared" si="5"/>
        <v>56</v>
      </c>
      <c r="B56" s="86" t="str">
        <f t="shared" si="4"/>
        <v/>
      </c>
      <c r="C56" s="46"/>
      <c r="D56" s="46"/>
      <c r="E56" s="46"/>
      <c r="F56" s="46"/>
      <c r="G56" s="46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8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ht="14.25">
      <c r="A57" s="85">
        <f t="shared" si="5"/>
        <v>57</v>
      </c>
      <c r="B57" s="86" t="str">
        <f t="shared" si="4"/>
        <v/>
      </c>
      <c r="C57" s="46"/>
      <c r="D57" s="46"/>
      <c r="E57" s="46"/>
      <c r="F57" s="46"/>
      <c r="G57" s="46"/>
      <c r="H57" s="46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8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ht="14.25">
      <c r="A58" s="85">
        <f t="shared" si="5"/>
        <v>58</v>
      </c>
      <c r="B58" s="86" t="str">
        <f t="shared" si="4"/>
        <v/>
      </c>
      <c r="C58" s="46"/>
      <c r="D58" s="46"/>
      <c r="E58" s="46"/>
      <c r="F58" s="46"/>
      <c r="G58" s="46"/>
      <c r="H58" s="46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ht="14.25">
      <c r="A59" s="85">
        <f t="shared" si="5"/>
        <v>59</v>
      </c>
      <c r="B59" s="86" t="str">
        <f t="shared" si="4"/>
        <v/>
      </c>
      <c r="C59" s="46"/>
      <c r="D59" s="46"/>
      <c r="E59" s="46"/>
      <c r="F59" s="46"/>
      <c r="G59" s="46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ht="14.25">
      <c r="A60" s="85">
        <f t="shared" si="5"/>
        <v>60</v>
      </c>
      <c r="B60" s="86" t="str">
        <f t="shared" si="4"/>
        <v/>
      </c>
      <c r="C60" s="46"/>
      <c r="D60" s="46"/>
      <c r="E60" s="46"/>
      <c r="F60" s="46"/>
      <c r="G60" s="46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ht="14.25">
      <c r="A61" s="85">
        <f t="shared" si="5"/>
        <v>61</v>
      </c>
      <c r="B61" s="86" t="str">
        <f t="shared" si="4"/>
        <v/>
      </c>
      <c r="C61" s="46"/>
      <c r="D61" s="46"/>
      <c r="E61" s="46"/>
      <c r="F61" s="46"/>
      <c r="G61" s="46"/>
      <c r="H61" s="4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8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ht="14.25">
      <c r="A62" s="85">
        <f t="shared" si="5"/>
        <v>62</v>
      </c>
      <c r="B62" s="86" t="str">
        <f t="shared" si="4"/>
        <v/>
      </c>
      <c r="C62" s="46"/>
      <c r="D62" s="46"/>
      <c r="E62" s="46"/>
      <c r="F62" s="46"/>
      <c r="G62" s="46"/>
      <c r="H62" s="46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ht="14.25">
      <c r="A63" s="85">
        <f t="shared" si="5"/>
        <v>63</v>
      </c>
      <c r="B63" s="86" t="str">
        <f t="shared" si="4"/>
        <v/>
      </c>
      <c r="C63" s="46"/>
      <c r="D63" s="46"/>
      <c r="E63" s="46"/>
      <c r="F63" s="46"/>
      <c r="G63" s="46"/>
      <c r="H63" s="46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8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ht="14.25">
      <c r="A64" s="85">
        <f t="shared" si="5"/>
        <v>64</v>
      </c>
      <c r="B64" s="86" t="str">
        <f t="shared" si="4"/>
        <v/>
      </c>
      <c r="C64" s="46"/>
      <c r="D64" s="46"/>
      <c r="E64" s="46"/>
      <c r="F64" s="46"/>
      <c r="G64" s="46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8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ht="14.25">
      <c r="A65" s="85">
        <f t="shared" si="5"/>
        <v>65</v>
      </c>
      <c r="B65" s="86" t="str">
        <f t="shared" si="4"/>
        <v/>
      </c>
      <c r="C65" s="46"/>
      <c r="D65" s="46"/>
      <c r="E65" s="46"/>
      <c r="F65" s="46"/>
      <c r="G65" s="46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8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ht="14.25">
      <c r="A66" s="85">
        <f t="shared" si="5"/>
        <v>66</v>
      </c>
      <c r="B66" s="86" t="str">
        <f t="shared" si="4"/>
        <v/>
      </c>
      <c r="C66" s="46"/>
      <c r="D66" s="46"/>
      <c r="E66" s="46"/>
      <c r="F66" s="46"/>
      <c r="G66" s="46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8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ht="14.25">
      <c r="A67" s="85">
        <f t="shared" si="5"/>
        <v>67</v>
      </c>
      <c r="B67" s="86" t="str">
        <f t="shared" ref="B67:B130" si="26">C67&amp;D67&amp;E67&amp;F67&amp;G67&amp;H67</f>
        <v/>
      </c>
      <c r="C67" s="46"/>
      <c r="D67" s="46"/>
      <c r="E67" s="46"/>
      <c r="F67" s="46"/>
      <c r="G67" s="46"/>
      <c r="H67" s="46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8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ht="14.25">
      <c r="A68" s="85">
        <f t="shared" ref="A68:A131" si="27">A67+1</f>
        <v>68</v>
      </c>
      <c r="B68" s="86" t="str">
        <f t="shared" si="26"/>
        <v/>
      </c>
      <c r="C68" s="46"/>
      <c r="D68" s="46"/>
      <c r="E68" s="46"/>
      <c r="F68" s="46"/>
      <c r="G68" s="46"/>
      <c r="H68" s="46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ht="14.25">
      <c r="A69" s="85">
        <f t="shared" si="27"/>
        <v>69</v>
      </c>
      <c r="B69" s="86" t="str">
        <f t="shared" si="26"/>
        <v/>
      </c>
      <c r="C69" s="46"/>
      <c r="D69" s="46"/>
      <c r="E69" s="46"/>
      <c r="F69" s="46"/>
      <c r="G69" s="46"/>
      <c r="H69" s="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8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ht="14.25">
      <c r="A70" s="85">
        <f t="shared" si="27"/>
        <v>70</v>
      </c>
      <c r="B70" s="86" t="str">
        <f t="shared" si="26"/>
        <v/>
      </c>
      <c r="C70" s="46"/>
      <c r="D70" s="46"/>
      <c r="E70" s="46"/>
      <c r="F70" s="46"/>
      <c r="G70" s="46"/>
      <c r="H70" s="46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8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ht="14.25">
      <c r="A71" s="85">
        <f t="shared" si="27"/>
        <v>71</v>
      </c>
      <c r="B71" s="86" t="str">
        <f t="shared" si="26"/>
        <v/>
      </c>
      <c r="C71" s="46"/>
      <c r="D71" s="46"/>
      <c r="E71" s="46"/>
      <c r="F71" s="46"/>
      <c r="G71" s="46"/>
      <c r="H71" s="4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8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ht="14.25">
      <c r="A72" s="85">
        <f t="shared" si="27"/>
        <v>72</v>
      </c>
      <c r="B72" s="86" t="str">
        <f t="shared" si="26"/>
        <v/>
      </c>
      <c r="C72" s="46"/>
      <c r="D72" s="46"/>
      <c r="E72" s="46"/>
      <c r="F72" s="46"/>
      <c r="G72" s="46"/>
      <c r="H72" s="46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8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ht="14.25">
      <c r="A73" s="85">
        <f t="shared" si="27"/>
        <v>73</v>
      </c>
      <c r="B73" s="86" t="str">
        <f t="shared" si="26"/>
        <v/>
      </c>
      <c r="C73" s="46"/>
      <c r="D73" s="46"/>
      <c r="E73" s="46"/>
      <c r="F73" s="46"/>
      <c r="G73" s="46"/>
      <c r="H73" s="46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8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ht="14.25">
      <c r="A74" s="85">
        <f t="shared" si="27"/>
        <v>74</v>
      </c>
      <c r="B74" s="86" t="str">
        <f t="shared" si="26"/>
        <v/>
      </c>
      <c r="C74" s="46"/>
      <c r="D74" s="46"/>
      <c r="E74" s="46"/>
      <c r="F74" s="46"/>
      <c r="G74" s="46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8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ht="14.25">
      <c r="A75" s="85">
        <f t="shared" si="27"/>
        <v>75</v>
      </c>
      <c r="B75" s="86" t="str">
        <f t="shared" si="26"/>
        <v/>
      </c>
      <c r="C75" s="46"/>
      <c r="D75" s="46"/>
      <c r="E75" s="46"/>
      <c r="F75" s="46"/>
      <c r="G75" s="46"/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8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ht="14.25">
      <c r="A76" s="85">
        <f t="shared" si="27"/>
        <v>76</v>
      </c>
      <c r="B76" s="86" t="str">
        <f t="shared" si="26"/>
        <v/>
      </c>
      <c r="C76" s="46"/>
      <c r="D76" s="46"/>
      <c r="E76" s="46"/>
      <c r="F76" s="46"/>
      <c r="G76" s="46"/>
      <c r="H76" s="4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8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ht="14.25">
      <c r="A77" s="85">
        <f t="shared" si="27"/>
        <v>77</v>
      </c>
      <c r="B77" s="86" t="str">
        <f t="shared" si="26"/>
        <v/>
      </c>
      <c r="C77" s="46"/>
      <c r="D77" s="46"/>
      <c r="E77" s="46"/>
      <c r="F77" s="46"/>
      <c r="G77" s="46"/>
      <c r="H77" s="46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8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ht="14.25">
      <c r="A78" s="85">
        <f t="shared" si="27"/>
        <v>78</v>
      </c>
      <c r="B78" s="86" t="str">
        <f t="shared" si="26"/>
        <v/>
      </c>
      <c r="C78" s="46"/>
      <c r="D78" s="46"/>
      <c r="E78" s="46"/>
      <c r="F78" s="46"/>
      <c r="G78" s="46"/>
      <c r="H78" s="46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ht="14.25">
      <c r="A79" s="85">
        <f t="shared" si="27"/>
        <v>79</v>
      </c>
      <c r="B79" s="86" t="str">
        <f t="shared" si="26"/>
        <v/>
      </c>
      <c r="C79" s="46"/>
      <c r="D79" s="46"/>
      <c r="E79" s="46"/>
      <c r="F79" s="46"/>
      <c r="G79" s="46"/>
      <c r="H79" s="46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8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ht="14.25">
      <c r="A80" s="85">
        <f t="shared" si="27"/>
        <v>80</v>
      </c>
      <c r="B80" s="86" t="str">
        <f t="shared" si="26"/>
        <v/>
      </c>
      <c r="C80" s="46"/>
      <c r="D80" s="46"/>
      <c r="E80" s="46"/>
      <c r="F80" s="46"/>
      <c r="G80" s="46"/>
      <c r="H80" s="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8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ht="14.25">
      <c r="A81" s="85">
        <f t="shared" si="27"/>
        <v>81</v>
      </c>
      <c r="B81" s="86" t="str">
        <f t="shared" si="26"/>
        <v/>
      </c>
      <c r="C81" s="46"/>
      <c r="D81" s="46"/>
      <c r="E81" s="46"/>
      <c r="F81" s="46"/>
      <c r="G81" s="46"/>
      <c r="H81" s="4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8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ht="14.25">
      <c r="A82" s="85">
        <f t="shared" si="27"/>
        <v>82</v>
      </c>
      <c r="B82" s="86" t="str">
        <f t="shared" si="26"/>
        <v/>
      </c>
      <c r="C82" s="46"/>
      <c r="D82" s="46"/>
      <c r="E82" s="46"/>
      <c r="F82" s="46"/>
      <c r="G82" s="46"/>
      <c r="H82" s="46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4.25">
      <c r="A83" s="85">
        <f t="shared" si="27"/>
        <v>83</v>
      </c>
      <c r="B83" s="86" t="str">
        <f t="shared" si="26"/>
        <v/>
      </c>
      <c r="C83" s="46"/>
      <c r="D83" s="46"/>
      <c r="E83" s="46"/>
      <c r="F83" s="46"/>
      <c r="G83" s="46"/>
      <c r="H83" s="46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8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ht="14.25">
      <c r="A84" s="85">
        <f t="shared" si="27"/>
        <v>84</v>
      </c>
      <c r="B84" s="86" t="str">
        <f t="shared" si="26"/>
        <v/>
      </c>
      <c r="C84" s="46"/>
      <c r="D84" s="46"/>
      <c r="E84" s="46"/>
      <c r="F84" s="46"/>
      <c r="G84" s="46"/>
      <c r="H84" s="46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8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ht="14.25">
      <c r="A85" s="85">
        <f t="shared" si="27"/>
        <v>85</v>
      </c>
      <c r="B85" s="86" t="str">
        <f t="shared" si="26"/>
        <v/>
      </c>
      <c r="C85" s="46"/>
      <c r="D85" s="46"/>
      <c r="E85" s="46"/>
      <c r="F85" s="46"/>
      <c r="G85" s="46"/>
      <c r="H85" s="4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8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ht="14.25">
      <c r="A86" s="85">
        <f t="shared" si="27"/>
        <v>86</v>
      </c>
      <c r="B86" s="86" t="str">
        <f t="shared" si="26"/>
        <v/>
      </c>
      <c r="C86" s="46"/>
      <c r="D86" s="46"/>
      <c r="E86" s="46"/>
      <c r="F86" s="46"/>
      <c r="G86" s="46"/>
      <c r="H86" s="46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8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ht="14.25">
      <c r="A87" s="85">
        <f t="shared" si="27"/>
        <v>87</v>
      </c>
      <c r="B87" s="86" t="str">
        <f t="shared" si="26"/>
        <v/>
      </c>
      <c r="C87" s="46"/>
      <c r="D87" s="46"/>
      <c r="E87" s="46"/>
      <c r="F87" s="46"/>
      <c r="G87" s="46"/>
      <c r="H87" s="46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ht="14.25">
      <c r="A88" s="85">
        <f t="shared" si="27"/>
        <v>88</v>
      </c>
      <c r="B88" s="86" t="str">
        <f t="shared" si="26"/>
        <v/>
      </c>
      <c r="C88" s="46"/>
      <c r="D88" s="46"/>
      <c r="E88" s="46"/>
      <c r="F88" s="46"/>
      <c r="G88" s="46"/>
      <c r="H88" s="46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ht="14.25">
      <c r="A89" s="85">
        <f t="shared" si="27"/>
        <v>89</v>
      </c>
      <c r="B89" s="86" t="str">
        <f t="shared" si="26"/>
        <v/>
      </c>
      <c r="C89" s="46"/>
      <c r="D89" s="46"/>
      <c r="E89" s="46"/>
      <c r="F89" s="46"/>
      <c r="G89" s="46"/>
      <c r="H89" s="46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8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ht="14.25">
      <c r="A90" s="85">
        <f t="shared" si="27"/>
        <v>90</v>
      </c>
      <c r="B90" s="86" t="str">
        <f t="shared" si="26"/>
        <v/>
      </c>
      <c r="C90" s="46"/>
      <c r="D90" s="46"/>
      <c r="E90" s="46"/>
      <c r="F90" s="46"/>
      <c r="G90" s="46"/>
      <c r="H90" s="46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8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ht="14.25">
      <c r="A91" s="85">
        <f t="shared" si="27"/>
        <v>91</v>
      </c>
      <c r="B91" s="86" t="str">
        <f t="shared" si="26"/>
        <v/>
      </c>
      <c r="C91" s="46"/>
      <c r="D91" s="46"/>
      <c r="E91" s="46"/>
      <c r="F91" s="46"/>
      <c r="G91" s="46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8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ht="14.25">
      <c r="A92" s="85">
        <f t="shared" si="27"/>
        <v>92</v>
      </c>
      <c r="B92" s="86" t="str">
        <f t="shared" si="26"/>
        <v/>
      </c>
      <c r="C92" s="46"/>
      <c r="D92" s="46"/>
      <c r="E92" s="46"/>
      <c r="F92" s="46"/>
      <c r="G92" s="46"/>
      <c r="H92" s="46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8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ht="14.25">
      <c r="A93" s="85">
        <f t="shared" si="27"/>
        <v>93</v>
      </c>
      <c r="B93" s="86" t="str">
        <f t="shared" si="26"/>
        <v/>
      </c>
      <c r="C93" s="46"/>
      <c r="D93" s="46"/>
      <c r="E93" s="46"/>
      <c r="F93" s="46"/>
      <c r="G93" s="46"/>
      <c r="H93" s="46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8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ht="14.25">
      <c r="A94" s="85">
        <f t="shared" si="27"/>
        <v>94</v>
      </c>
      <c r="B94" s="86" t="str">
        <f t="shared" si="26"/>
        <v/>
      </c>
      <c r="C94" s="46"/>
      <c r="D94" s="46"/>
      <c r="E94" s="46"/>
      <c r="F94" s="46"/>
      <c r="G94" s="46"/>
      <c r="H94" s="4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8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ht="14.25">
      <c r="A95" s="85">
        <f t="shared" si="27"/>
        <v>95</v>
      </c>
      <c r="B95" s="86" t="str">
        <f t="shared" si="26"/>
        <v/>
      </c>
      <c r="C95" s="46"/>
      <c r="D95" s="46"/>
      <c r="E95" s="46"/>
      <c r="F95" s="46"/>
      <c r="G95" s="46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8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ht="14.25">
      <c r="A96" s="85">
        <f t="shared" si="27"/>
        <v>96</v>
      </c>
      <c r="B96" s="86" t="str">
        <f t="shared" si="26"/>
        <v/>
      </c>
      <c r="C96" s="46"/>
      <c r="D96" s="46"/>
      <c r="E96" s="46"/>
      <c r="F96" s="46"/>
      <c r="G96" s="46"/>
      <c r="H96" s="46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8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ht="14.25">
      <c r="A97" s="85">
        <f t="shared" si="27"/>
        <v>97</v>
      </c>
      <c r="B97" s="86" t="str">
        <f t="shared" si="26"/>
        <v/>
      </c>
      <c r="C97" s="46"/>
      <c r="D97" s="46"/>
      <c r="E97" s="46"/>
      <c r="F97" s="46"/>
      <c r="G97" s="46"/>
      <c r="H97" s="46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8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ht="14.25">
      <c r="A98" s="85">
        <f t="shared" si="27"/>
        <v>98</v>
      </c>
      <c r="B98" s="86" t="str">
        <f t="shared" si="26"/>
        <v/>
      </c>
      <c r="C98" s="46"/>
      <c r="D98" s="46"/>
      <c r="E98" s="46"/>
      <c r="F98" s="46"/>
      <c r="G98" s="46"/>
      <c r="H98" s="46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ht="14.25">
      <c r="A99" s="85">
        <f t="shared" si="27"/>
        <v>99</v>
      </c>
      <c r="B99" s="86" t="str">
        <f t="shared" si="26"/>
        <v/>
      </c>
      <c r="C99" s="46"/>
      <c r="D99" s="46"/>
      <c r="E99" s="46"/>
      <c r="F99" s="46"/>
      <c r="G99" s="46"/>
      <c r="H99" s="46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8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ht="14.25">
      <c r="A100" s="85">
        <f t="shared" si="27"/>
        <v>100</v>
      </c>
      <c r="B100" s="86" t="str">
        <f t="shared" si="26"/>
        <v/>
      </c>
      <c r="C100" s="46"/>
      <c r="D100" s="46"/>
      <c r="E100" s="46"/>
      <c r="F100" s="46"/>
      <c r="G100" s="46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8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ht="14.25">
      <c r="A101" s="85">
        <f t="shared" si="27"/>
        <v>101</v>
      </c>
      <c r="B101" s="86" t="str">
        <f t="shared" si="26"/>
        <v/>
      </c>
      <c r="C101" s="46"/>
      <c r="D101" s="46"/>
      <c r="E101" s="46"/>
      <c r="F101" s="46"/>
      <c r="G101" s="46"/>
      <c r="H101" s="4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8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ht="14.25">
      <c r="A102" s="85">
        <f t="shared" si="27"/>
        <v>102</v>
      </c>
      <c r="B102" s="86" t="str">
        <f t="shared" si="26"/>
        <v/>
      </c>
      <c r="C102" s="46"/>
      <c r="D102" s="46"/>
      <c r="E102" s="46"/>
      <c r="F102" s="46"/>
      <c r="G102" s="46"/>
      <c r="H102" s="46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8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ht="14.25">
      <c r="A103" s="85">
        <f t="shared" si="27"/>
        <v>103</v>
      </c>
      <c r="B103" s="86" t="str">
        <f t="shared" si="26"/>
        <v/>
      </c>
      <c r="C103" s="46"/>
      <c r="D103" s="46"/>
      <c r="E103" s="46"/>
      <c r="F103" s="46"/>
      <c r="G103" s="46"/>
      <c r="H103" s="46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8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ht="14.25">
      <c r="A104" s="85">
        <f t="shared" si="27"/>
        <v>104</v>
      </c>
      <c r="B104" s="86" t="str">
        <f t="shared" si="26"/>
        <v/>
      </c>
      <c r="C104" s="46"/>
      <c r="D104" s="46"/>
      <c r="E104" s="46"/>
      <c r="F104" s="46"/>
      <c r="G104" s="46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ht="14.25">
      <c r="A105" s="85">
        <f t="shared" si="27"/>
        <v>105</v>
      </c>
      <c r="B105" s="86" t="str">
        <f t="shared" si="26"/>
        <v/>
      </c>
      <c r="C105" s="46"/>
      <c r="D105" s="46"/>
      <c r="E105" s="46"/>
      <c r="F105" s="46"/>
      <c r="G105" s="46"/>
      <c r="H105" s="4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8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ht="14.25">
      <c r="A106" s="85">
        <f t="shared" si="27"/>
        <v>106</v>
      </c>
      <c r="B106" s="86" t="str">
        <f t="shared" si="26"/>
        <v/>
      </c>
      <c r="C106" s="46"/>
      <c r="D106" s="46"/>
      <c r="E106" s="46"/>
      <c r="F106" s="46"/>
      <c r="G106" s="46"/>
      <c r="H106" s="46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8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ht="14.25">
      <c r="A107" s="85">
        <f t="shared" si="27"/>
        <v>107</v>
      </c>
      <c r="B107" s="86" t="str">
        <f t="shared" si="26"/>
        <v/>
      </c>
      <c r="C107" s="46"/>
      <c r="D107" s="46"/>
      <c r="E107" s="46"/>
      <c r="F107" s="46"/>
      <c r="G107" s="46"/>
      <c r="H107" s="46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8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ht="14.25">
      <c r="A108" s="85">
        <f t="shared" si="27"/>
        <v>108</v>
      </c>
      <c r="B108" s="86" t="str">
        <f t="shared" si="26"/>
        <v/>
      </c>
      <c r="C108" s="46"/>
      <c r="D108" s="46"/>
      <c r="E108" s="46"/>
      <c r="F108" s="46"/>
      <c r="G108" s="46"/>
      <c r="H108" s="46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ht="14.25">
      <c r="A109" s="85">
        <f t="shared" si="27"/>
        <v>109</v>
      </c>
      <c r="B109" s="86" t="str">
        <f t="shared" si="26"/>
        <v/>
      </c>
      <c r="C109" s="46"/>
      <c r="D109" s="46"/>
      <c r="E109" s="46"/>
      <c r="F109" s="46"/>
      <c r="G109" s="46"/>
      <c r="H109" s="46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8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ht="14.25">
      <c r="A110" s="85">
        <f t="shared" si="27"/>
        <v>110</v>
      </c>
      <c r="B110" s="86" t="str">
        <f t="shared" si="26"/>
        <v/>
      </c>
      <c r="C110" s="46"/>
      <c r="D110" s="46"/>
      <c r="E110" s="46"/>
      <c r="F110" s="46"/>
      <c r="G110" s="46"/>
      <c r="H110" s="4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ht="14.25">
      <c r="A111" s="85">
        <f t="shared" si="27"/>
        <v>111</v>
      </c>
      <c r="B111" s="86" t="str">
        <f t="shared" si="26"/>
        <v/>
      </c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8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ht="14.25">
      <c r="A112" s="85">
        <f t="shared" si="27"/>
        <v>112</v>
      </c>
      <c r="B112" s="86" t="str">
        <f t="shared" si="26"/>
        <v/>
      </c>
      <c r="C112" s="46"/>
      <c r="D112" s="46"/>
      <c r="E112" s="46"/>
      <c r="F112" s="46"/>
      <c r="G112" s="46"/>
      <c r="H112" s="46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8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ht="14.25">
      <c r="A113" s="85">
        <f t="shared" si="27"/>
        <v>113</v>
      </c>
      <c r="B113" s="86" t="str">
        <f t="shared" si="26"/>
        <v/>
      </c>
      <c r="C113" s="46"/>
      <c r="D113" s="46"/>
      <c r="E113" s="46"/>
      <c r="F113" s="46"/>
      <c r="G113" s="46"/>
      <c r="H113" s="46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8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ht="14.25">
      <c r="A114" s="85">
        <f t="shared" si="27"/>
        <v>114</v>
      </c>
      <c r="B114" s="86" t="str">
        <f t="shared" si="26"/>
        <v/>
      </c>
      <c r="C114" s="46"/>
      <c r="D114" s="46"/>
      <c r="E114" s="46"/>
      <c r="F114" s="46"/>
      <c r="G114" s="46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8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ht="14.25">
      <c r="A115" s="85">
        <f t="shared" si="27"/>
        <v>115</v>
      </c>
      <c r="B115" s="86" t="str">
        <f t="shared" si="26"/>
        <v/>
      </c>
      <c r="C115" s="46"/>
      <c r="D115" s="46"/>
      <c r="E115" s="46"/>
      <c r="F115" s="46"/>
      <c r="G115" s="46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8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ht="14.25">
      <c r="A116" s="85">
        <f t="shared" si="27"/>
        <v>116</v>
      </c>
      <c r="B116" s="86" t="str">
        <f t="shared" si="26"/>
        <v/>
      </c>
      <c r="C116" s="46"/>
      <c r="D116" s="46"/>
      <c r="E116" s="46"/>
      <c r="F116" s="46"/>
      <c r="G116" s="46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ht="14.25">
      <c r="A117" s="85">
        <f t="shared" si="27"/>
        <v>117</v>
      </c>
      <c r="B117" s="86" t="str">
        <f t="shared" si="26"/>
        <v/>
      </c>
      <c r="C117" s="46"/>
      <c r="D117" s="46"/>
      <c r="E117" s="46"/>
      <c r="F117" s="46"/>
      <c r="G117" s="46"/>
      <c r="H117" s="46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8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ht="14.25">
      <c r="A118" s="85">
        <f t="shared" si="27"/>
        <v>118</v>
      </c>
      <c r="B118" s="86" t="str">
        <f t="shared" si="26"/>
        <v/>
      </c>
      <c r="C118" s="46"/>
      <c r="D118" s="46"/>
      <c r="E118" s="46"/>
      <c r="F118" s="46"/>
      <c r="G118" s="46"/>
      <c r="H118" s="46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ht="14.25">
      <c r="A119" s="85">
        <f t="shared" si="27"/>
        <v>119</v>
      </c>
      <c r="B119" s="86" t="str">
        <f t="shared" si="26"/>
        <v/>
      </c>
      <c r="C119" s="46"/>
      <c r="D119" s="46"/>
      <c r="E119" s="46"/>
      <c r="F119" s="46"/>
      <c r="G119" s="46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8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ht="14.25">
      <c r="A120" s="85">
        <f t="shared" si="27"/>
        <v>120</v>
      </c>
      <c r="B120" s="86" t="str">
        <f t="shared" si="26"/>
        <v/>
      </c>
      <c r="C120" s="46"/>
      <c r="D120" s="46"/>
      <c r="E120" s="46"/>
      <c r="F120" s="46"/>
      <c r="G120" s="46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8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ht="14.25">
      <c r="A121" s="85">
        <f t="shared" si="27"/>
        <v>121</v>
      </c>
      <c r="B121" s="86" t="str">
        <f t="shared" si="26"/>
        <v/>
      </c>
      <c r="C121" s="46"/>
      <c r="D121" s="46"/>
      <c r="E121" s="46"/>
      <c r="F121" s="46"/>
      <c r="G121" s="46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8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ht="14.25">
      <c r="A122" s="85">
        <f t="shared" si="27"/>
        <v>122</v>
      </c>
      <c r="B122" s="86" t="str">
        <f t="shared" si="26"/>
        <v/>
      </c>
      <c r="C122" s="46"/>
      <c r="D122" s="46"/>
      <c r="E122" s="46"/>
      <c r="F122" s="46"/>
      <c r="G122" s="46"/>
      <c r="H122" s="46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8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ht="14.25">
      <c r="A123" s="85">
        <f t="shared" si="27"/>
        <v>123</v>
      </c>
      <c r="B123" s="86" t="str">
        <f t="shared" si="26"/>
        <v/>
      </c>
      <c r="C123" s="46"/>
      <c r="D123" s="46"/>
      <c r="E123" s="46"/>
      <c r="F123" s="46"/>
      <c r="G123" s="46"/>
      <c r="H123" s="46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8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ht="14.25">
      <c r="A124" s="85">
        <f t="shared" si="27"/>
        <v>124</v>
      </c>
      <c r="B124" s="86" t="str">
        <f t="shared" si="26"/>
        <v/>
      </c>
      <c r="C124" s="46"/>
      <c r="D124" s="46"/>
      <c r="E124" s="46"/>
      <c r="F124" s="46"/>
      <c r="G124" s="46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8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ht="14.25">
      <c r="A125" s="85">
        <f t="shared" si="27"/>
        <v>125</v>
      </c>
      <c r="B125" s="86" t="str">
        <f t="shared" si="26"/>
        <v/>
      </c>
      <c r="C125" s="46"/>
      <c r="D125" s="46"/>
      <c r="E125" s="46"/>
      <c r="F125" s="46"/>
      <c r="G125" s="46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8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ht="14.25">
      <c r="A126" s="85">
        <f t="shared" si="27"/>
        <v>126</v>
      </c>
      <c r="B126" s="86" t="str">
        <f t="shared" si="26"/>
        <v/>
      </c>
      <c r="C126" s="46"/>
      <c r="D126" s="46"/>
      <c r="E126" s="46"/>
      <c r="F126" s="46"/>
      <c r="G126" s="46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8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ht="14.25">
      <c r="A127" s="85">
        <f t="shared" si="27"/>
        <v>127</v>
      </c>
      <c r="B127" s="86" t="str">
        <f t="shared" si="26"/>
        <v/>
      </c>
      <c r="C127" s="46"/>
      <c r="D127" s="46"/>
      <c r="E127" s="46"/>
      <c r="F127" s="46"/>
      <c r="G127" s="46"/>
      <c r="H127" s="46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8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ht="14.25">
      <c r="A128" s="85">
        <f t="shared" si="27"/>
        <v>128</v>
      </c>
      <c r="B128" s="86" t="str">
        <f t="shared" si="26"/>
        <v/>
      </c>
      <c r="C128" s="46"/>
      <c r="D128" s="46"/>
      <c r="E128" s="46"/>
      <c r="F128" s="46"/>
      <c r="G128" s="46"/>
      <c r="H128" s="46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ht="14.25">
      <c r="A129" s="85">
        <f t="shared" si="27"/>
        <v>129</v>
      </c>
      <c r="B129" s="86" t="str">
        <f t="shared" si="26"/>
        <v/>
      </c>
      <c r="C129" s="46"/>
      <c r="D129" s="46"/>
      <c r="E129" s="46"/>
      <c r="F129" s="46"/>
      <c r="G129" s="46"/>
      <c r="H129" s="4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8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ht="14.25">
      <c r="A130" s="85">
        <f t="shared" si="27"/>
        <v>130</v>
      </c>
      <c r="B130" s="86" t="str">
        <f t="shared" si="26"/>
        <v/>
      </c>
      <c r="C130" s="46"/>
      <c r="D130" s="46"/>
      <c r="E130" s="46"/>
      <c r="F130" s="46"/>
      <c r="G130" s="46"/>
      <c r="H130" s="4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8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ht="14.25">
      <c r="A131" s="85">
        <f t="shared" si="27"/>
        <v>131</v>
      </c>
      <c r="B131" s="86" t="str">
        <f t="shared" ref="B131:B159" si="28">C131&amp;D131&amp;E131&amp;F131&amp;G131&amp;H131</f>
        <v/>
      </c>
      <c r="C131" s="46"/>
      <c r="D131" s="46"/>
      <c r="E131" s="46"/>
      <c r="F131" s="46"/>
      <c r="G131" s="46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8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ht="14.25">
      <c r="A132" s="85">
        <f t="shared" ref="A132:A195" si="29">A131+1</f>
        <v>132</v>
      </c>
      <c r="B132" s="86" t="str">
        <f t="shared" si="28"/>
        <v/>
      </c>
      <c r="C132" s="46"/>
      <c r="D132" s="46"/>
      <c r="E132" s="46"/>
      <c r="F132" s="46"/>
      <c r="G132" s="46"/>
      <c r="H132" s="46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8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ht="14.25">
      <c r="A133" s="85">
        <f t="shared" si="29"/>
        <v>133</v>
      </c>
      <c r="B133" s="86" t="str">
        <f t="shared" si="28"/>
        <v/>
      </c>
      <c r="C133" s="46"/>
      <c r="D133" s="46"/>
      <c r="E133" s="46"/>
      <c r="F133" s="46"/>
      <c r="G133" s="46"/>
      <c r="H133" s="46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8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ht="14.25">
      <c r="A134" s="85">
        <f t="shared" si="29"/>
        <v>134</v>
      </c>
      <c r="B134" s="86" t="str">
        <f t="shared" si="28"/>
        <v/>
      </c>
      <c r="C134" s="46"/>
      <c r="D134" s="46"/>
      <c r="E134" s="46"/>
      <c r="F134" s="46"/>
      <c r="G134" s="46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8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ht="14.25">
      <c r="A135" s="85">
        <f t="shared" si="29"/>
        <v>135</v>
      </c>
      <c r="B135" s="86" t="str">
        <f t="shared" si="28"/>
        <v/>
      </c>
      <c r="C135" s="46"/>
      <c r="D135" s="46"/>
      <c r="E135" s="46"/>
      <c r="F135" s="46"/>
      <c r="G135" s="46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8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ht="14.25">
      <c r="A136" s="85">
        <f t="shared" si="29"/>
        <v>136</v>
      </c>
      <c r="B136" s="86" t="str">
        <f t="shared" si="28"/>
        <v/>
      </c>
      <c r="C136" s="46"/>
      <c r="D136" s="46"/>
      <c r="E136" s="46"/>
      <c r="F136" s="46"/>
      <c r="G136" s="46"/>
      <c r="H136" s="4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8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ht="14.25">
      <c r="A137" s="85">
        <f t="shared" si="29"/>
        <v>137</v>
      </c>
      <c r="B137" s="86" t="str">
        <f t="shared" si="28"/>
        <v/>
      </c>
      <c r="C137" s="46"/>
      <c r="D137" s="46"/>
      <c r="E137" s="46"/>
      <c r="F137" s="46"/>
      <c r="G137" s="46"/>
      <c r="H137" s="46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8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ht="14.25">
      <c r="A138" s="85">
        <f t="shared" si="29"/>
        <v>138</v>
      </c>
      <c r="B138" s="86" t="str">
        <f t="shared" si="28"/>
        <v/>
      </c>
      <c r="C138" s="46"/>
      <c r="D138" s="46"/>
      <c r="E138" s="46"/>
      <c r="F138" s="46"/>
      <c r="G138" s="46"/>
      <c r="H138" s="46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ht="14.25">
      <c r="A139" s="85">
        <f t="shared" si="29"/>
        <v>139</v>
      </c>
      <c r="B139" s="86" t="str">
        <f t="shared" si="28"/>
        <v/>
      </c>
      <c r="C139" s="46"/>
      <c r="D139" s="46"/>
      <c r="E139" s="46"/>
      <c r="F139" s="46"/>
      <c r="G139" s="46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8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>
      <c r="A140" s="85">
        <f t="shared" si="29"/>
        <v>140</v>
      </c>
      <c r="B140" s="86" t="str">
        <f t="shared" si="28"/>
        <v/>
      </c>
      <c r="C140" s="46"/>
      <c r="D140" s="46"/>
      <c r="E140" s="46"/>
      <c r="F140" s="46"/>
      <c r="G140" s="46"/>
      <c r="H140" s="46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50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</row>
    <row r="141" spans="1:60" ht="14.25">
      <c r="A141" s="85">
        <f t="shared" si="29"/>
        <v>141</v>
      </c>
      <c r="B141" s="86" t="str">
        <f t="shared" si="28"/>
        <v/>
      </c>
      <c r="C141" s="51"/>
      <c r="D141" s="51"/>
      <c r="E141" s="51"/>
      <c r="F141" s="51"/>
      <c r="G141" s="51"/>
      <c r="H141" s="51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48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ht="14.25">
      <c r="A142" s="85">
        <f t="shared" si="29"/>
        <v>142</v>
      </c>
      <c r="B142" s="86" t="str">
        <f t="shared" si="28"/>
        <v/>
      </c>
      <c r="C142" s="51"/>
      <c r="D142" s="51"/>
      <c r="E142" s="51"/>
      <c r="F142" s="51"/>
      <c r="G142" s="51"/>
      <c r="H142" s="51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48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ht="14.25">
      <c r="A143" s="85">
        <f t="shared" si="29"/>
        <v>143</v>
      </c>
      <c r="B143" s="86" t="str">
        <f t="shared" si="28"/>
        <v/>
      </c>
      <c r="C143" s="51"/>
      <c r="D143" s="51"/>
      <c r="E143" s="51"/>
      <c r="F143" s="51"/>
      <c r="G143" s="51"/>
      <c r="H143" s="51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48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ht="14.25">
      <c r="A144" s="85">
        <f t="shared" si="29"/>
        <v>144</v>
      </c>
      <c r="B144" s="86" t="str">
        <f t="shared" si="28"/>
        <v/>
      </c>
      <c r="C144" s="51"/>
      <c r="D144" s="51"/>
      <c r="E144" s="51"/>
      <c r="F144" s="51"/>
      <c r="G144" s="51"/>
      <c r="H144" s="51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48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ht="14.25">
      <c r="A145" s="85">
        <f t="shared" si="29"/>
        <v>145</v>
      </c>
      <c r="B145" s="86" t="str">
        <f t="shared" si="28"/>
        <v/>
      </c>
      <c r="C145" s="51"/>
      <c r="D145" s="51"/>
      <c r="E145" s="51"/>
      <c r="F145" s="51"/>
      <c r="G145" s="51"/>
      <c r="H145" s="51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48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ht="14.25">
      <c r="A146" s="85">
        <f t="shared" si="29"/>
        <v>146</v>
      </c>
      <c r="B146" s="86" t="str">
        <f t="shared" si="28"/>
        <v/>
      </c>
      <c r="C146" s="51"/>
      <c r="D146" s="51"/>
      <c r="E146" s="51"/>
      <c r="F146" s="51"/>
      <c r="G146" s="51"/>
      <c r="H146" s="51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48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ht="14.25">
      <c r="A147" s="85">
        <f t="shared" si="29"/>
        <v>147</v>
      </c>
      <c r="B147" s="86" t="str">
        <f t="shared" si="28"/>
        <v/>
      </c>
      <c r="C147" s="51"/>
      <c r="D147" s="51"/>
      <c r="E147" s="51"/>
      <c r="F147" s="51"/>
      <c r="G147" s="51"/>
      <c r="H147" s="51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48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ht="14.25">
      <c r="A148" s="85">
        <f t="shared" si="29"/>
        <v>148</v>
      </c>
      <c r="B148" s="86" t="str">
        <f t="shared" si="28"/>
        <v/>
      </c>
      <c r="C148" s="51"/>
      <c r="D148" s="51"/>
      <c r="E148" s="51"/>
      <c r="F148" s="51"/>
      <c r="G148" s="51"/>
      <c r="H148" s="51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ht="14.25">
      <c r="A149" s="85">
        <f t="shared" si="29"/>
        <v>149</v>
      </c>
      <c r="B149" s="86" t="str">
        <f t="shared" si="28"/>
        <v/>
      </c>
      <c r="C149" s="51"/>
      <c r="D149" s="51"/>
      <c r="E149" s="51"/>
      <c r="F149" s="51"/>
      <c r="G149" s="51"/>
      <c r="H149" s="51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48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ht="14.25">
      <c r="A150" s="85">
        <f t="shared" si="29"/>
        <v>150</v>
      </c>
      <c r="B150" s="86" t="str">
        <f t="shared" si="28"/>
        <v/>
      </c>
      <c r="C150" s="51"/>
      <c r="D150" s="51"/>
      <c r="E150" s="51"/>
      <c r="F150" s="51"/>
      <c r="G150" s="51"/>
      <c r="H150" s="51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48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ht="14.25">
      <c r="A151" s="85">
        <f t="shared" si="29"/>
        <v>151</v>
      </c>
      <c r="B151" s="86" t="str">
        <f t="shared" si="28"/>
        <v/>
      </c>
      <c r="C151" s="51"/>
      <c r="D151" s="51"/>
      <c r="E151" s="51"/>
      <c r="F151" s="51"/>
      <c r="G151" s="51"/>
      <c r="H151" s="51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48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ht="14.25">
      <c r="A152" s="85">
        <f t="shared" si="29"/>
        <v>152</v>
      </c>
      <c r="B152" s="86" t="str">
        <f t="shared" si="28"/>
        <v/>
      </c>
      <c r="C152" s="51"/>
      <c r="D152" s="51"/>
      <c r="E152" s="51"/>
      <c r="F152" s="51"/>
      <c r="G152" s="51"/>
      <c r="H152" s="5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48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ht="14.25">
      <c r="A153" s="85">
        <f t="shared" si="29"/>
        <v>153</v>
      </c>
      <c r="B153" s="86" t="str">
        <f t="shared" si="28"/>
        <v/>
      </c>
      <c r="C153" s="51"/>
      <c r="D153" s="51"/>
      <c r="E153" s="51"/>
      <c r="F153" s="51"/>
      <c r="G153" s="51"/>
      <c r="H153" s="51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48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ht="14.25">
      <c r="A154" s="85">
        <f t="shared" si="29"/>
        <v>154</v>
      </c>
      <c r="B154" s="86" t="str">
        <f t="shared" si="28"/>
        <v/>
      </c>
      <c r="C154" s="51"/>
      <c r="D154" s="51"/>
      <c r="E154" s="51"/>
      <c r="F154" s="51"/>
      <c r="G154" s="51"/>
      <c r="H154" s="51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48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ht="14.25">
      <c r="A155" s="85">
        <f t="shared" si="29"/>
        <v>155</v>
      </c>
      <c r="B155" s="86" t="str">
        <f t="shared" si="28"/>
        <v/>
      </c>
      <c r="C155" s="51"/>
      <c r="D155" s="51"/>
      <c r="E155" s="51"/>
      <c r="F155" s="51"/>
      <c r="G155" s="51"/>
      <c r="H155" s="51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48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ht="14.25">
      <c r="A156" s="85">
        <f t="shared" si="29"/>
        <v>156</v>
      </c>
      <c r="B156" s="86" t="str">
        <f t="shared" si="28"/>
        <v/>
      </c>
      <c r="C156" s="51"/>
      <c r="D156" s="51"/>
      <c r="E156" s="51"/>
      <c r="F156" s="51"/>
      <c r="G156" s="51"/>
      <c r="H156" s="51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48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ht="14.25">
      <c r="A157" s="85">
        <f t="shared" si="29"/>
        <v>157</v>
      </c>
      <c r="B157" s="86" t="str">
        <f t="shared" si="28"/>
        <v/>
      </c>
      <c r="C157" s="51"/>
      <c r="D157" s="51"/>
      <c r="E157" s="51"/>
      <c r="F157" s="51"/>
      <c r="G157" s="51"/>
      <c r="H157" s="51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48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ht="14.25">
      <c r="A158" s="85">
        <f t="shared" si="29"/>
        <v>158</v>
      </c>
      <c r="B158" s="86" t="str">
        <f t="shared" si="28"/>
        <v/>
      </c>
      <c r="C158" s="51"/>
      <c r="D158" s="51"/>
      <c r="E158" s="51"/>
      <c r="F158" s="51"/>
      <c r="G158" s="51"/>
      <c r="H158" s="51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4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18" customFormat="1" ht="14.25">
      <c r="A159" s="85">
        <f t="shared" si="29"/>
        <v>159</v>
      </c>
      <c r="B159" s="86" t="str">
        <f t="shared" si="28"/>
        <v/>
      </c>
      <c r="C159" s="51"/>
      <c r="D159" s="51"/>
      <c r="E159" s="51"/>
      <c r="F159" s="51"/>
      <c r="G159" s="51"/>
      <c r="H159" s="51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48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ht="14.25">
      <c r="A160" s="85">
        <f t="shared" si="29"/>
        <v>160</v>
      </c>
      <c r="C160" s="51"/>
      <c r="D160" s="51"/>
      <c r="E160" s="51"/>
      <c r="F160" s="51"/>
      <c r="G160" s="51"/>
      <c r="H160" s="51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48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60" ht="14.25">
      <c r="A161" s="85">
        <f t="shared" si="29"/>
        <v>161</v>
      </c>
      <c r="C161" s="51"/>
      <c r="D161" s="51"/>
      <c r="E161" s="51"/>
      <c r="F161" s="51"/>
      <c r="G161" s="51"/>
      <c r="H161" s="51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48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</row>
    <row r="162" spans="1:60" ht="14.25">
      <c r="A162" s="85">
        <f t="shared" si="29"/>
        <v>162</v>
      </c>
      <c r="C162" s="51"/>
      <c r="D162" s="51"/>
      <c r="E162" s="51"/>
      <c r="F162" s="51"/>
      <c r="G162" s="51"/>
      <c r="H162" s="51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48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</row>
    <row r="163" spans="1:60" ht="14.25">
      <c r="A163" s="85">
        <f t="shared" si="29"/>
        <v>163</v>
      </c>
      <c r="C163" s="51"/>
      <c r="D163" s="51"/>
      <c r="E163" s="51"/>
      <c r="F163" s="51"/>
      <c r="G163" s="51"/>
      <c r="H163" s="51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48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</row>
    <row r="164" spans="1:60" ht="14.25">
      <c r="A164" s="85">
        <f t="shared" si="29"/>
        <v>164</v>
      </c>
      <c r="C164" s="51"/>
      <c r="D164" s="51"/>
      <c r="E164" s="51"/>
      <c r="F164" s="51"/>
      <c r="G164" s="51"/>
      <c r="H164" s="51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48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</row>
    <row r="165" spans="1:60" ht="14.25">
      <c r="A165" s="85">
        <f t="shared" si="29"/>
        <v>165</v>
      </c>
      <c r="C165" s="51"/>
      <c r="D165" s="51"/>
      <c r="E165" s="51"/>
      <c r="F165" s="51"/>
      <c r="G165" s="51"/>
      <c r="H165" s="51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48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</row>
    <row r="166" spans="1:60" ht="14.25">
      <c r="A166" s="85">
        <f t="shared" si="29"/>
        <v>166</v>
      </c>
      <c r="C166" s="51"/>
      <c r="D166" s="51"/>
      <c r="E166" s="51"/>
      <c r="F166" s="51"/>
      <c r="G166" s="51"/>
      <c r="H166" s="51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48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</row>
    <row r="167" spans="1:60" ht="14.25">
      <c r="A167" s="85">
        <f t="shared" si="29"/>
        <v>167</v>
      </c>
      <c r="C167" s="51"/>
      <c r="D167" s="51"/>
      <c r="E167" s="51"/>
      <c r="F167" s="51"/>
      <c r="G167" s="51"/>
      <c r="H167" s="51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48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</row>
    <row r="168" spans="1:60" ht="14.25">
      <c r="A168" s="85">
        <f t="shared" si="29"/>
        <v>168</v>
      </c>
      <c r="C168" s="51"/>
      <c r="D168" s="51"/>
      <c r="E168" s="51"/>
      <c r="F168" s="51"/>
      <c r="G168" s="51"/>
      <c r="H168" s="51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4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</row>
    <row r="169" spans="1:60" ht="14.25">
      <c r="A169" s="85">
        <f t="shared" si="29"/>
        <v>169</v>
      </c>
      <c r="C169" s="51"/>
      <c r="D169" s="51"/>
      <c r="E169" s="51"/>
      <c r="F169" s="51"/>
      <c r="G169" s="51"/>
      <c r="H169" s="51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48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</row>
    <row r="170" spans="1:60" ht="14.25">
      <c r="A170" s="85">
        <f t="shared" si="29"/>
        <v>170</v>
      </c>
      <c r="C170" s="51"/>
      <c r="D170" s="51"/>
      <c r="E170" s="51"/>
      <c r="F170" s="51"/>
      <c r="G170" s="51"/>
      <c r="H170" s="51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48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1:60" ht="14.25">
      <c r="A171" s="85">
        <f t="shared" si="29"/>
        <v>171</v>
      </c>
      <c r="C171" s="51"/>
      <c r="D171" s="51"/>
      <c r="E171" s="51"/>
      <c r="F171" s="51"/>
      <c r="G171" s="51"/>
      <c r="H171" s="51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48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</row>
    <row r="172" spans="1:60" ht="14.25">
      <c r="A172" s="85">
        <f t="shared" si="29"/>
        <v>172</v>
      </c>
      <c r="C172" s="51"/>
      <c r="D172" s="51"/>
      <c r="E172" s="51"/>
      <c r="F172" s="51"/>
      <c r="G172" s="51"/>
      <c r="H172" s="51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48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</row>
    <row r="173" spans="1:60" ht="14.25">
      <c r="A173" s="85">
        <f t="shared" si="29"/>
        <v>173</v>
      </c>
      <c r="C173" s="51"/>
      <c r="D173" s="51"/>
      <c r="E173" s="51"/>
      <c r="F173" s="51"/>
      <c r="G173" s="51"/>
      <c r="H173" s="51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48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1:60" ht="14.25">
      <c r="A174" s="85">
        <f t="shared" si="29"/>
        <v>174</v>
      </c>
      <c r="C174" s="51"/>
      <c r="D174" s="51"/>
      <c r="E174" s="51"/>
      <c r="F174" s="51"/>
      <c r="G174" s="51"/>
      <c r="H174" s="51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48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</row>
    <row r="175" spans="1:60" ht="14.25">
      <c r="A175" s="85">
        <f t="shared" si="29"/>
        <v>175</v>
      </c>
      <c r="C175" s="51"/>
      <c r="D175" s="51"/>
      <c r="E175" s="51"/>
      <c r="F175" s="51"/>
      <c r="G175" s="51"/>
      <c r="H175" s="51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48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</row>
    <row r="176" spans="1:60" ht="14.25">
      <c r="A176" s="85">
        <f t="shared" si="29"/>
        <v>176</v>
      </c>
      <c r="C176" s="51"/>
      <c r="D176" s="51"/>
      <c r="E176" s="51"/>
      <c r="F176" s="51"/>
      <c r="G176" s="51"/>
      <c r="H176" s="51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48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</row>
    <row r="177" spans="1:60" ht="14.25">
      <c r="A177" s="85">
        <f t="shared" si="29"/>
        <v>177</v>
      </c>
      <c r="C177" s="51"/>
      <c r="D177" s="51"/>
      <c r="E177" s="51"/>
      <c r="F177" s="51"/>
      <c r="G177" s="51"/>
      <c r="H177" s="51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48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</row>
    <row r="178" spans="1:60" ht="14.25">
      <c r="A178" s="85">
        <f t="shared" si="29"/>
        <v>178</v>
      </c>
      <c r="C178" s="51"/>
      <c r="D178" s="51"/>
      <c r="E178" s="51"/>
      <c r="F178" s="51"/>
      <c r="G178" s="51"/>
      <c r="H178" s="51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4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</row>
    <row r="179" spans="1:60" ht="14.25">
      <c r="A179" s="85">
        <f t="shared" si="29"/>
        <v>179</v>
      </c>
      <c r="C179" s="51"/>
      <c r="D179" s="51"/>
      <c r="E179" s="51"/>
      <c r="F179" s="51"/>
      <c r="G179" s="51"/>
      <c r="H179" s="51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48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</row>
    <row r="180" spans="1:60" ht="14.25">
      <c r="A180" s="85">
        <f t="shared" si="29"/>
        <v>180</v>
      </c>
      <c r="C180" s="51"/>
      <c r="D180" s="51"/>
      <c r="E180" s="51"/>
      <c r="F180" s="51"/>
      <c r="G180" s="51"/>
      <c r="H180" s="51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48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</row>
    <row r="181" spans="1:60" ht="14.25">
      <c r="A181" s="85">
        <f t="shared" si="29"/>
        <v>181</v>
      </c>
      <c r="C181" s="51"/>
      <c r="D181" s="51"/>
      <c r="E181" s="51"/>
      <c r="F181" s="51"/>
      <c r="G181" s="51"/>
      <c r="H181" s="51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48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</row>
    <row r="182" spans="1:60" ht="14.25">
      <c r="A182" s="85">
        <f t="shared" si="29"/>
        <v>182</v>
      </c>
      <c r="C182" s="51"/>
      <c r="D182" s="51"/>
      <c r="E182" s="51"/>
      <c r="F182" s="51"/>
      <c r="G182" s="51"/>
      <c r="H182" s="51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48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</row>
    <row r="183" spans="1:60" ht="14.25">
      <c r="A183" s="85">
        <f t="shared" si="29"/>
        <v>183</v>
      </c>
      <c r="C183" s="51"/>
      <c r="D183" s="51"/>
      <c r="E183" s="51"/>
      <c r="F183" s="51"/>
      <c r="G183" s="51"/>
      <c r="H183" s="51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48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</row>
    <row r="184" spans="1:60" ht="14.25">
      <c r="A184" s="85">
        <f t="shared" si="29"/>
        <v>184</v>
      </c>
      <c r="C184" s="51"/>
      <c r="D184" s="51"/>
      <c r="E184" s="51"/>
      <c r="F184" s="51"/>
      <c r="G184" s="51"/>
      <c r="H184" s="51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48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</row>
    <row r="185" spans="1:60" ht="14.25">
      <c r="A185" s="85">
        <f t="shared" si="29"/>
        <v>185</v>
      </c>
      <c r="C185" s="51"/>
      <c r="D185" s="51"/>
      <c r="E185" s="51"/>
      <c r="F185" s="51"/>
      <c r="G185" s="51"/>
      <c r="H185" s="51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48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</row>
    <row r="186" spans="1:60" ht="14.25">
      <c r="A186" s="85">
        <f t="shared" si="29"/>
        <v>186</v>
      </c>
      <c r="C186" s="51"/>
      <c r="D186" s="51"/>
      <c r="E186" s="51"/>
      <c r="F186" s="51"/>
      <c r="G186" s="51"/>
      <c r="H186" s="51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48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</row>
    <row r="187" spans="1:60" ht="14.25">
      <c r="A187" s="85">
        <f t="shared" si="29"/>
        <v>187</v>
      </c>
      <c r="C187" s="51"/>
      <c r="D187" s="51"/>
      <c r="E187" s="51"/>
      <c r="F187" s="51"/>
      <c r="G187" s="51"/>
      <c r="H187" s="51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48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</row>
    <row r="188" spans="1:60" ht="14.25">
      <c r="A188" s="85">
        <f t="shared" si="29"/>
        <v>188</v>
      </c>
      <c r="C188" s="51"/>
      <c r="D188" s="51"/>
      <c r="E188" s="51"/>
      <c r="F188" s="51"/>
      <c r="G188" s="51"/>
      <c r="H188" s="51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4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</row>
    <row r="189" spans="1:60" ht="14.25">
      <c r="A189" s="85">
        <f t="shared" si="29"/>
        <v>189</v>
      </c>
      <c r="C189" s="51"/>
      <c r="D189" s="51"/>
      <c r="E189" s="51"/>
      <c r="F189" s="51"/>
      <c r="G189" s="51"/>
      <c r="H189" s="51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48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</row>
    <row r="190" spans="1:60" ht="14.25">
      <c r="A190" s="85">
        <f t="shared" si="29"/>
        <v>190</v>
      </c>
      <c r="C190" s="51"/>
      <c r="D190" s="51"/>
      <c r="E190" s="51"/>
      <c r="F190" s="51"/>
      <c r="G190" s="51"/>
      <c r="H190" s="51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48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</row>
    <row r="191" spans="1:60" ht="14.25">
      <c r="A191" s="85">
        <f t="shared" si="29"/>
        <v>191</v>
      </c>
      <c r="C191" s="51"/>
      <c r="D191" s="51"/>
      <c r="E191" s="51"/>
      <c r="F191" s="51"/>
      <c r="G191" s="51"/>
      <c r="H191" s="51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48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</row>
    <row r="192" spans="1:60" ht="14.25">
      <c r="A192" s="85">
        <f t="shared" si="29"/>
        <v>192</v>
      </c>
      <c r="C192" s="51"/>
      <c r="D192" s="51"/>
      <c r="E192" s="51"/>
      <c r="F192" s="51"/>
      <c r="G192" s="51"/>
      <c r="H192" s="51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48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</row>
    <row r="193" spans="1:60" ht="14.25">
      <c r="A193" s="85">
        <f t="shared" si="29"/>
        <v>193</v>
      </c>
      <c r="C193" s="51"/>
      <c r="D193" s="51"/>
      <c r="E193" s="51"/>
      <c r="F193" s="51"/>
      <c r="G193" s="51"/>
      <c r="H193" s="51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48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</row>
    <row r="194" spans="1:60" ht="14.25">
      <c r="A194" s="85">
        <f t="shared" si="29"/>
        <v>194</v>
      </c>
      <c r="C194" s="51"/>
      <c r="D194" s="51"/>
      <c r="E194" s="51"/>
      <c r="F194" s="51"/>
      <c r="G194" s="51"/>
      <c r="H194" s="51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48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</row>
    <row r="195" spans="1:60" ht="14.25">
      <c r="A195" s="85">
        <f t="shared" si="29"/>
        <v>195</v>
      </c>
      <c r="C195" s="51"/>
      <c r="D195" s="51"/>
      <c r="E195" s="51"/>
      <c r="F195" s="51"/>
      <c r="G195" s="51"/>
      <c r="H195" s="51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48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</row>
    <row r="196" spans="1:60" ht="14.25">
      <c r="A196" s="85">
        <f t="shared" ref="A196:A201" si="30">A195+1</f>
        <v>196</v>
      </c>
      <c r="C196" s="51"/>
      <c r="D196" s="51"/>
      <c r="E196" s="51"/>
      <c r="F196" s="51"/>
      <c r="G196" s="51"/>
      <c r="H196" s="51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48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</row>
    <row r="197" spans="1:60" ht="14.25">
      <c r="A197" s="85">
        <f t="shared" si="30"/>
        <v>197</v>
      </c>
      <c r="C197" s="51"/>
      <c r="D197" s="51"/>
      <c r="E197" s="51"/>
      <c r="F197" s="51"/>
      <c r="G197" s="51"/>
      <c r="H197" s="51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48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</row>
    <row r="198" spans="1:60" ht="14.25">
      <c r="A198" s="85">
        <f t="shared" si="30"/>
        <v>198</v>
      </c>
      <c r="C198" s="51"/>
      <c r="D198" s="51"/>
      <c r="E198" s="51"/>
      <c r="F198" s="51"/>
      <c r="G198" s="51"/>
      <c r="H198" s="51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4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</row>
    <row r="199" spans="1:60" ht="14.25">
      <c r="A199" s="85">
        <f t="shared" si="30"/>
        <v>199</v>
      </c>
      <c r="C199" s="51"/>
      <c r="D199" s="51"/>
      <c r="E199" s="51"/>
      <c r="F199" s="51"/>
      <c r="G199" s="51"/>
      <c r="H199" s="51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48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</row>
    <row r="200" spans="1:60" ht="14.25">
      <c r="A200" s="85">
        <f t="shared" si="30"/>
        <v>200</v>
      </c>
      <c r="C200" s="51"/>
      <c r="D200" s="51"/>
      <c r="E200" s="51"/>
      <c r="F200" s="51"/>
      <c r="G200" s="51"/>
      <c r="H200" s="51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48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</row>
    <row r="201" spans="1:60" ht="14.25">
      <c r="A201" s="85">
        <f t="shared" si="30"/>
        <v>201</v>
      </c>
      <c r="C201" s="51"/>
      <c r="D201" s="51"/>
      <c r="E201" s="51"/>
      <c r="F201" s="51"/>
      <c r="G201" s="51"/>
      <c r="H201" s="51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48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1:60" ht="14.25">
      <c r="C202" s="51"/>
      <c r="D202" s="51"/>
      <c r="E202" s="51"/>
      <c r="F202" s="51"/>
      <c r="G202" s="51"/>
      <c r="H202" s="51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48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1:60" ht="14.25">
      <c r="C203" s="51"/>
      <c r="D203" s="51"/>
      <c r="E203" s="51"/>
      <c r="F203" s="51"/>
      <c r="G203" s="51"/>
      <c r="H203" s="51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48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1:60" ht="14.25">
      <c r="C204" s="51"/>
      <c r="D204" s="51"/>
      <c r="E204" s="51"/>
      <c r="F204" s="51"/>
      <c r="G204" s="51"/>
      <c r="H204" s="51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48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</row>
    <row r="205" spans="1:60" ht="14.25">
      <c r="C205" s="51"/>
      <c r="D205" s="51"/>
      <c r="E205" s="51"/>
      <c r="F205" s="51"/>
      <c r="G205" s="51"/>
      <c r="H205" s="51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3"/>
      <c r="AN205" s="53"/>
      <c r="AO205" s="53"/>
      <c r="AP205" s="53"/>
    </row>
    <row r="206" spans="1:60" ht="14.25">
      <c r="C206" s="51"/>
      <c r="D206" s="51"/>
      <c r="E206" s="51"/>
      <c r="F206" s="51"/>
      <c r="G206" s="51"/>
      <c r="H206" s="51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3"/>
      <c r="AN206" s="53"/>
      <c r="AO206" s="53"/>
      <c r="AP206" s="53"/>
    </row>
    <row r="207" spans="1:60" ht="14.25">
      <c r="C207" s="51"/>
      <c r="D207" s="51"/>
      <c r="E207" s="51"/>
      <c r="F207" s="51"/>
      <c r="G207" s="51"/>
      <c r="H207" s="51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3"/>
      <c r="AN207" s="53"/>
      <c r="AO207" s="53"/>
      <c r="AP207" s="53"/>
    </row>
    <row r="208" spans="1:60" ht="14.25">
      <c r="C208" s="51"/>
      <c r="D208" s="51"/>
      <c r="E208" s="51"/>
      <c r="F208" s="51"/>
      <c r="G208" s="51"/>
      <c r="H208" s="51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3"/>
      <c r="AN208" s="53"/>
      <c r="AO208" s="53"/>
      <c r="AP208" s="53"/>
    </row>
    <row r="209" spans="3:42" ht="14.25">
      <c r="C209" s="51"/>
      <c r="D209" s="51"/>
      <c r="E209" s="51"/>
      <c r="F209" s="51"/>
      <c r="G209" s="51"/>
      <c r="H209" s="51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3"/>
      <c r="AN209" s="53"/>
      <c r="AO209" s="53"/>
      <c r="AP209" s="53"/>
    </row>
    <row r="210" spans="3:42" ht="14.25">
      <c r="C210" s="51"/>
      <c r="D210" s="51"/>
      <c r="E210" s="51"/>
      <c r="F210" s="51"/>
      <c r="G210" s="51"/>
      <c r="H210" s="51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3"/>
      <c r="AN210" s="53"/>
      <c r="AO210" s="53"/>
      <c r="AP210" s="53"/>
    </row>
    <row r="211" spans="3:42" ht="14.25">
      <c r="C211" s="51"/>
      <c r="D211" s="51"/>
      <c r="E211" s="51"/>
      <c r="F211" s="51"/>
      <c r="G211" s="51"/>
      <c r="H211" s="51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3"/>
      <c r="AN211" s="53"/>
      <c r="AO211" s="53"/>
      <c r="AP211" s="53"/>
    </row>
    <row r="212" spans="3:42" ht="14.25">
      <c r="C212" s="51"/>
      <c r="D212" s="51"/>
      <c r="E212" s="51"/>
      <c r="F212" s="51"/>
      <c r="G212" s="51"/>
      <c r="H212" s="51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3"/>
      <c r="AN212" s="53"/>
      <c r="AO212" s="53"/>
      <c r="AP212" s="53"/>
    </row>
    <row r="213" spans="3:42" ht="14.25">
      <c r="C213" s="51"/>
      <c r="D213" s="51"/>
      <c r="E213" s="51"/>
      <c r="F213" s="51"/>
      <c r="G213" s="51"/>
      <c r="H213" s="51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3"/>
      <c r="AN213" s="53"/>
      <c r="AO213" s="53"/>
      <c r="AP213" s="53"/>
    </row>
    <row r="214" spans="3:42" ht="14.25">
      <c r="C214" s="51"/>
      <c r="D214" s="51"/>
      <c r="E214" s="51"/>
      <c r="F214" s="51"/>
      <c r="G214" s="51"/>
      <c r="H214" s="51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3"/>
      <c r="AN214" s="53"/>
      <c r="AO214" s="53"/>
      <c r="AP214" s="53"/>
    </row>
    <row r="215" spans="3:42" ht="14.25">
      <c r="C215" s="51"/>
      <c r="D215" s="51"/>
      <c r="E215" s="51"/>
      <c r="F215" s="51"/>
      <c r="G215" s="51"/>
      <c r="H215" s="51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3"/>
      <c r="AN215" s="53"/>
      <c r="AO215" s="53"/>
      <c r="AP215" s="53"/>
    </row>
    <row r="216" spans="3:42" ht="14.25">
      <c r="C216" s="51"/>
      <c r="D216" s="51"/>
      <c r="E216" s="51"/>
      <c r="F216" s="51"/>
      <c r="G216" s="51"/>
      <c r="H216" s="51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3"/>
      <c r="AN216" s="53"/>
      <c r="AO216" s="53"/>
      <c r="AP216" s="53"/>
    </row>
    <row r="217" spans="3:42" ht="14.25">
      <c r="C217" s="51"/>
      <c r="D217" s="51"/>
      <c r="E217" s="51"/>
      <c r="F217" s="51"/>
      <c r="G217" s="51"/>
      <c r="H217" s="51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3"/>
      <c r="AN217" s="53"/>
      <c r="AO217" s="53"/>
      <c r="AP217" s="53"/>
    </row>
    <row r="218" spans="3:42" ht="14.25">
      <c r="C218" s="51"/>
      <c r="D218" s="51"/>
      <c r="E218" s="51"/>
      <c r="F218" s="51"/>
      <c r="G218" s="51"/>
      <c r="H218" s="51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3"/>
      <c r="AN218" s="53"/>
      <c r="AO218" s="53"/>
      <c r="AP218" s="53"/>
    </row>
    <row r="219" spans="3:42" ht="14.25">
      <c r="C219" s="51"/>
      <c r="D219" s="51"/>
      <c r="E219" s="51"/>
      <c r="F219" s="51"/>
      <c r="G219" s="51"/>
      <c r="H219" s="51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3"/>
      <c r="AN219" s="53"/>
      <c r="AO219" s="53"/>
      <c r="AP219" s="53"/>
    </row>
    <row r="220" spans="3:42" ht="14.25">
      <c r="C220" s="51"/>
      <c r="D220" s="51"/>
      <c r="E220" s="51"/>
      <c r="F220" s="51"/>
      <c r="G220" s="51"/>
      <c r="H220" s="51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3"/>
      <c r="AN220" s="53"/>
      <c r="AO220" s="53"/>
      <c r="AP220" s="53"/>
    </row>
    <row r="221" spans="3:42" ht="14.25">
      <c r="C221" s="51"/>
      <c r="D221" s="51"/>
      <c r="E221" s="51"/>
      <c r="F221" s="51"/>
      <c r="G221" s="51"/>
      <c r="H221" s="51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3"/>
      <c r="AN221" s="53"/>
      <c r="AO221" s="53"/>
      <c r="AP221" s="53"/>
    </row>
    <row r="222" spans="3:42" ht="14.25">
      <c r="C222" s="51"/>
      <c r="D222" s="51"/>
      <c r="E222" s="51"/>
      <c r="F222" s="51"/>
      <c r="G222" s="51"/>
      <c r="H222" s="51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3"/>
      <c r="AN222" s="53"/>
      <c r="AO222" s="53"/>
      <c r="AP222" s="53"/>
    </row>
    <row r="223" spans="3:42" ht="14.25">
      <c r="C223" s="51"/>
      <c r="D223" s="51"/>
      <c r="E223" s="51"/>
      <c r="F223" s="51"/>
      <c r="G223" s="51"/>
      <c r="H223" s="51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3"/>
      <c r="AN223" s="53"/>
      <c r="AO223" s="53"/>
      <c r="AP223" s="53"/>
    </row>
    <row r="224" spans="3:42" ht="14.25">
      <c r="C224" s="51"/>
      <c r="D224" s="51"/>
      <c r="E224" s="51"/>
      <c r="F224" s="51"/>
      <c r="G224" s="51"/>
      <c r="H224" s="51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3"/>
      <c r="AN224" s="53"/>
      <c r="AO224" s="53"/>
      <c r="AP224" s="53"/>
    </row>
    <row r="225" spans="3:42" ht="14.25">
      <c r="C225" s="51"/>
      <c r="D225" s="51"/>
      <c r="E225" s="51"/>
      <c r="F225" s="51"/>
      <c r="G225" s="51"/>
      <c r="H225" s="51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3"/>
      <c r="AN225" s="53"/>
      <c r="AO225" s="53"/>
      <c r="AP225" s="53"/>
    </row>
    <row r="226" spans="3:42" ht="14.25">
      <c r="C226" s="51"/>
      <c r="D226" s="51"/>
      <c r="E226" s="51"/>
      <c r="F226" s="51"/>
      <c r="G226" s="51"/>
      <c r="H226" s="51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3"/>
      <c r="AN226" s="53"/>
      <c r="AO226" s="53"/>
      <c r="AP226" s="53"/>
    </row>
    <row r="227" spans="3:42" ht="14.25">
      <c r="C227" s="21"/>
      <c r="D227" s="21"/>
      <c r="E227" s="21"/>
      <c r="F227" s="21"/>
      <c r="G227" s="21"/>
      <c r="H227" s="21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</row>
    <row r="228" spans="3:42" ht="14.25">
      <c r="C228" s="21"/>
      <c r="D228" s="21"/>
      <c r="E228" s="21"/>
      <c r="F228" s="21"/>
      <c r="G228" s="21"/>
      <c r="H228" s="21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</row>
    <row r="229" spans="3:42" ht="14.25">
      <c r="C229" s="21"/>
      <c r="D229" s="21"/>
      <c r="E229" s="21"/>
      <c r="F229" s="21"/>
      <c r="G229" s="21"/>
      <c r="H229" s="21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3:42" ht="14.25">
      <c r="C230" s="21"/>
      <c r="D230" s="21"/>
      <c r="E230" s="21"/>
      <c r="F230" s="21"/>
      <c r="G230" s="21"/>
      <c r="H230" s="21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</row>
    <row r="231" spans="3:42" ht="14.25">
      <c r="C231" s="21"/>
      <c r="D231" s="21"/>
      <c r="E231" s="21"/>
      <c r="F231" s="21"/>
      <c r="G231" s="21"/>
      <c r="H231" s="21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</row>
    <row r="232" spans="3:42" ht="14.25">
      <c r="C232" s="21"/>
      <c r="D232" s="21"/>
      <c r="E232" s="21"/>
      <c r="F232" s="21"/>
      <c r="G232" s="21"/>
      <c r="H232" s="21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</row>
    <row r="233" spans="3:42" ht="14.25">
      <c r="C233" s="21"/>
      <c r="D233" s="21"/>
      <c r="E233" s="21"/>
      <c r="F233" s="21"/>
      <c r="G233" s="21"/>
      <c r="H233" s="21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</row>
    <row r="234" spans="3:42" ht="14.25">
      <c r="C234" s="21"/>
      <c r="D234" s="21"/>
      <c r="E234" s="21"/>
      <c r="F234" s="21"/>
      <c r="G234" s="21"/>
      <c r="H234" s="21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</row>
    <row r="235" spans="3:42" ht="14.25">
      <c r="C235" s="21"/>
      <c r="D235" s="21"/>
      <c r="E235" s="21"/>
      <c r="F235" s="21"/>
      <c r="G235" s="21"/>
      <c r="H235" s="21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</row>
    <row r="236" spans="3:42" ht="14.25">
      <c r="C236" s="21"/>
      <c r="D236" s="21"/>
      <c r="E236" s="21"/>
      <c r="F236" s="21"/>
      <c r="G236" s="21"/>
      <c r="H236" s="21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</row>
    <row r="237" spans="3:42" ht="14.25">
      <c r="C237" s="21"/>
      <c r="D237" s="21"/>
      <c r="E237" s="21"/>
      <c r="F237" s="21"/>
      <c r="G237" s="21"/>
      <c r="H237" s="21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</row>
    <row r="238" spans="3:42" ht="14.25">
      <c r="C238" s="21"/>
      <c r="D238" s="21"/>
      <c r="E238" s="21"/>
      <c r="F238" s="21"/>
      <c r="G238" s="21"/>
      <c r="H238" s="21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</row>
    <row r="239" spans="3:42" ht="14.25">
      <c r="C239" s="21"/>
      <c r="D239" s="21"/>
      <c r="E239" s="21"/>
      <c r="F239" s="21"/>
      <c r="G239" s="21"/>
      <c r="H239" s="21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</row>
    <row r="240" spans="3:42" ht="14.25">
      <c r="C240" s="21"/>
      <c r="D240" s="21"/>
      <c r="E240" s="21"/>
      <c r="F240" s="21"/>
      <c r="G240" s="21"/>
      <c r="H240" s="21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3:38" ht="14.25">
      <c r="C241" s="21"/>
      <c r="D241" s="21"/>
      <c r="E241" s="21"/>
      <c r="F241" s="21"/>
      <c r="G241" s="21"/>
      <c r="H241" s="21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</row>
    <row r="242" spans="3:38" ht="14.25">
      <c r="C242" s="21"/>
      <c r="D242" s="21"/>
      <c r="E242" s="21"/>
      <c r="F242" s="21"/>
      <c r="G242" s="21"/>
      <c r="H242" s="21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</row>
    <row r="243" spans="3:38" ht="14.25">
      <c r="C243" s="21"/>
      <c r="D243" s="21"/>
      <c r="E243" s="21"/>
      <c r="F243" s="21"/>
      <c r="G243" s="21"/>
      <c r="H243" s="21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</row>
    <row r="244" spans="3:38" ht="14.25">
      <c r="C244" s="21"/>
      <c r="D244" s="21"/>
      <c r="E244" s="21"/>
      <c r="F244" s="21"/>
      <c r="G244" s="21"/>
      <c r="H244" s="21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</row>
    <row r="245" spans="3:38" ht="14.25">
      <c r="C245" s="21"/>
      <c r="D245" s="21"/>
      <c r="E245" s="21"/>
      <c r="F245" s="21"/>
      <c r="G245" s="21"/>
      <c r="H245" s="21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</row>
    <row r="246" spans="3:38" ht="14.25">
      <c r="C246" s="21"/>
      <c r="D246" s="21"/>
      <c r="E246" s="21"/>
      <c r="F246" s="21"/>
      <c r="G246" s="21"/>
      <c r="H246" s="21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</row>
    <row r="247" spans="3:38" ht="14.25">
      <c r="C247" s="21"/>
      <c r="D247" s="21"/>
      <c r="E247" s="21"/>
      <c r="F247" s="21"/>
      <c r="G247" s="21"/>
      <c r="H247" s="21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</row>
    <row r="248" spans="3:38" ht="14.25">
      <c r="C248" s="21"/>
      <c r="D248" s="21"/>
      <c r="E248" s="21"/>
      <c r="F248" s="21"/>
      <c r="G248" s="21"/>
      <c r="H248" s="21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</row>
    <row r="249" spans="3:38" ht="14.25">
      <c r="C249" s="21"/>
      <c r="D249" s="21"/>
      <c r="E249" s="21"/>
      <c r="F249" s="21"/>
      <c r="G249" s="21"/>
      <c r="H249" s="21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</row>
    <row r="250" spans="3:38" ht="14.25">
      <c r="C250" s="21"/>
      <c r="D250" s="21"/>
      <c r="E250" s="21"/>
      <c r="F250" s="21"/>
      <c r="G250" s="21"/>
      <c r="H250" s="21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</row>
    <row r="251" spans="3:38" ht="14.25">
      <c r="C251" s="21"/>
      <c r="D251" s="21"/>
      <c r="E251" s="21"/>
      <c r="F251" s="21"/>
      <c r="G251" s="21"/>
      <c r="H251" s="21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</row>
    <row r="252" spans="3:38" ht="14.25">
      <c r="C252" s="21"/>
      <c r="D252" s="21"/>
      <c r="E252" s="21"/>
      <c r="F252" s="21"/>
      <c r="G252" s="21"/>
      <c r="H252" s="21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</row>
    <row r="253" spans="3:38" ht="14.25">
      <c r="C253" s="21"/>
      <c r="D253" s="21"/>
      <c r="E253" s="21"/>
      <c r="F253" s="21"/>
      <c r="G253" s="21"/>
      <c r="H253" s="21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</row>
    <row r="254" spans="3:38" ht="14.25">
      <c r="C254" s="21"/>
      <c r="D254" s="21"/>
      <c r="E254" s="21"/>
      <c r="F254" s="21"/>
      <c r="G254" s="21"/>
      <c r="H254" s="21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</row>
    <row r="255" spans="3:38" ht="14.25">
      <c r="C255" s="21"/>
      <c r="D255" s="21"/>
      <c r="E255" s="21"/>
      <c r="F255" s="21"/>
      <c r="G255" s="21"/>
      <c r="H255" s="21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3:38" ht="14.25">
      <c r="C256" s="21"/>
      <c r="D256" s="21"/>
      <c r="E256" s="21"/>
      <c r="F256" s="21"/>
      <c r="G256" s="21"/>
      <c r="H256" s="21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3:38" ht="14.25">
      <c r="C257" s="21"/>
      <c r="D257" s="21"/>
      <c r="E257" s="21"/>
      <c r="F257" s="21"/>
      <c r="G257" s="21"/>
      <c r="H257" s="21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3:38" ht="14.25">
      <c r="C258" s="21"/>
      <c r="D258" s="21"/>
      <c r="E258" s="21"/>
      <c r="F258" s="21"/>
      <c r="G258" s="21"/>
      <c r="H258" s="21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3:38" ht="14.25">
      <c r="C259" s="21"/>
      <c r="D259" s="21"/>
      <c r="E259" s="21"/>
      <c r="F259" s="21"/>
      <c r="G259" s="21"/>
      <c r="H259" s="21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</row>
    <row r="260" spans="3:38" ht="14.25">
      <c r="C260" s="21"/>
      <c r="D260" s="21"/>
      <c r="E260" s="21"/>
      <c r="F260" s="21"/>
      <c r="G260" s="21"/>
      <c r="H260" s="21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</row>
    <row r="261" spans="3:38" ht="14.25">
      <c r="C261" s="21"/>
      <c r="D261" s="21"/>
      <c r="E261" s="21"/>
      <c r="F261" s="21"/>
      <c r="G261" s="21"/>
      <c r="H261" s="21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</row>
    <row r="262" spans="3:38" ht="14.25">
      <c r="C262" s="21"/>
      <c r="D262" s="21"/>
      <c r="E262" s="21"/>
      <c r="F262" s="21"/>
      <c r="G262" s="21"/>
      <c r="H262" s="21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</row>
    <row r="263" spans="3:38" ht="14.25">
      <c r="C263" s="21"/>
      <c r="D263" s="21"/>
      <c r="E263" s="21"/>
      <c r="F263" s="21"/>
      <c r="G263" s="21"/>
      <c r="H263" s="21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3:38" ht="14.25">
      <c r="C264" s="21"/>
      <c r="D264" s="21"/>
      <c r="E264" s="21"/>
      <c r="F264" s="21"/>
      <c r="G264" s="21"/>
      <c r="H264" s="21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</row>
    <row r="265" spans="3:38" ht="14.25">
      <c r="C265" s="21"/>
      <c r="D265" s="21"/>
      <c r="E265" s="21"/>
      <c r="F265" s="21"/>
      <c r="G265" s="21"/>
      <c r="H265" s="21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</row>
    <row r="266" spans="3:38" ht="14.25">
      <c r="C266" s="21"/>
      <c r="D266" s="21"/>
      <c r="E266" s="21"/>
      <c r="F266" s="21"/>
      <c r="G266" s="21"/>
      <c r="H266" s="21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</row>
    <row r="267" spans="3:38" ht="14.25">
      <c r="C267" s="21"/>
      <c r="D267" s="21"/>
      <c r="E267" s="21"/>
      <c r="F267" s="21"/>
      <c r="G267" s="21"/>
      <c r="H267" s="21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</row>
    <row r="268" spans="3:38" ht="14.25">
      <c r="C268" s="21"/>
      <c r="D268" s="21"/>
      <c r="E268" s="21"/>
      <c r="F268" s="21"/>
      <c r="G268" s="21"/>
      <c r="H268" s="21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</row>
    <row r="269" spans="3:38" ht="14.25">
      <c r="C269" s="21"/>
      <c r="D269" s="21"/>
      <c r="E269" s="21"/>
      <c r="F269" s="21"/>
      <c r="G269" s="21"/>
      <c r="H269" s="21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3:38" ht="14.25">
      <c r="C270" s="21"/>
      <c r="D270" s="21"/>
      <c r="E270" s="21"/>
      <c r="F270" s="21"/>
      <c r="G270" s="21"/>
      <c r="H270" s="21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3:38" ht="14.25">
      <c r="C271" s="21"/>
      <c r="D271" s="21"/>
      <c r="E271" s="21"/>
      <c r="F271" s="21"/>
      <c r="G271" s="21"/>
      <c r="H271" s="21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3:38" ht="14.25">
      <c r="C272" s="21"/>
      <c r="D272" s="21"/>
      <c r="E272" s="21"/>
      <c r="F272" s="21"/>
      <c r="G272" s="21"/>
      <c r="H272" s="21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</row>
    <row r="273" spans="3:38" ht="14.25">
      <c r="C273" s="21"/>
      <c r="D273" s="21"/>
      <c r="E273" s="21"/>
      <c r="F273" s="21"/>
      <c r="G273" s="21"/>
      <c r="H273" s="21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3:38" ht="14.25">
      <c r="C274" s="21"/>
      <c r="D274" s="21"/>
      <c r="E274" s="21"/>
      <c r="F274" s="21"/>
      <c r="G274" s="21"/>
      <c r="H274" s="21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3:38" ht="14.25">
      <c r="C275" s="21"/>
      <c r="D275" s="21"/>
      <c r="E275" s="21"/>
      <c r="F275" s="21"/>
      <c r="G275" s="21"/>
      <c r="H275" s="21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3:38" ht="14.25">
      <c r="C276" s="21"/>
      <c r="D276" s="21"/>
      <c r="E276" s="21"/>
      <c r="F276" s="21"/>
      <c r="G276" s="21"/>
      <c r="H276" s="21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</row>
    <row r="277" spans="3:38" ht="14.25">
      <c r="C277" s="21"/>
      <c r="D277" s="21"/>
      <c r="E277" s="21"/>
      <c r="F277" s="21"/>
      <c r="G277" s="21"/>
      <c r="H277" s="21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3:38" ht="14.25">
      <c r="C278" s="21"/>
      <c r="D278" s="21"/>
      <c r="E278" s="21"/>
      <c r="F278" s="21"/>
      <c r="G278" s="21"/>
      <c r="H278" s="21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</row>
    <row r="279" spans="3:38" ht="14.25">
      <c r="C279" s="21"/>
      <c r="D279" s="21"/>
      <c r="E279" s="21"/>
      <c r="F279" s="21"/>
      <c r="G279" s="21"/>
      <c r="H279" s="21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3:38" ht="14.25">
      <c r="C280" s="21"/>
      <c r="D280" s="21"/>
      <c r="E280" s="21"/>
      <c r="F280" s="21"/>
      <c r="G280" s="21"/>
      <c r="H280" s="21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</row>
    <row r="281" spans="3:38" ht="14.25">
      <c r="C281" s="21"/>
      <c r="D281" s="21"/>
      <c r="E281" s="21"/>
      <c r="F281" s="21"/>
      <c r="G281" s="21"/>
      <c r="H281" s="21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3:38" ht="14.25">
      <c r="C282" s="21"/>
      <c r="D282" s="21"/>
      <c r="E282" s="21"/>
      <c r="F282" s="21"/>
      <c r="G282" s="21"/>
      <c r="H282" s="21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</row>
    <row r="283" spans="3:38" ht="14.25">
      <c r="C283" s="21"/>
      <c r="D283" s="21"/>
      <c r="E283" s="21"/>
      <c r="F283" s="21"/>
      <c r="G283" s="21"/>
      <c r="H283" s="21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</row>
    <row r="284" spans="3:38" ht="14.25">
      <c r="C284" s="21"/>
      <c r="D284" s="21"/>
      <c r="E284" s="21"/>
      <c r="F284" s="21"/>
      <c r="G284" s="21"/>
      <c r="H284" s="21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</row>
    <row r="285" spans="3:38" ht="14.25">
      <c r="C285" s="21"/>
      <c r="D285" s="21"/>
      <c r="E285" s="21"/>
      <c r="F285" s="21"/>
      <c r="G285" s="21"/>
      <c r="H285" s="21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</row>
    <row r="286" spans="3:38" ht="14.25">
      <c r="C286" s="21"/>
      <c r="D286" s="21"/>
      <c r="E286" s="21"/>
      <c r="F286" s="21"/>
      <c r="G286" s="21"/>
      <c r="H286" s="21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3:38" ht="14.25">
      <c r="C287" s="21"/>
      <c r="D287" s="21"/>
      <c r="E287" s="21"/>
      <c r="F287" s="21"/>
      <c r="G287" s="21"/>
      <c r="H287" s="21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</row>
    <row r="288" spans="3:38" ht="14.25">
      <c r="C288" s="21"/>
      <c r="D288" s="21"/>
      <c r="E288" s="21"/>
      <c r="F288" s="21"/>
      <c r="G288" s="21"/>
      <c r="H288" s="21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</row>
    <row r="289" spans="3:38" ht="14.25">
      <c r="C289" s="21"/>
      <c r="D289" s="21"/>
      <c r="E289" s="21"/>
      <c r="F289" s="21"/>
      <c r="G289" s="21"/>
      <c r="H289" s="21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</row>
    <row r="290" spans="3:38" ht="14.25">
      <c r="C290" s="21"/>
      <c r="D290" s="21"/>
      <c r="E290" s="21"/>
      <c r="F290" s="21"/>
      <c r="G290" s="21"/>
      <c r="H290" s="21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</row>
    <row r="291" spans="3:38" ht="14.25">
      <c r="C291" s="21"/>
      <c r="D291" s="21"/>
      <c r="E291" s="21"/>
      <c r="F291" s="21"/>
      <c r="G291" s="21"/>
      <c r="H291" s="21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</row>
    <row r="292" spans="3:38" ht="14.25">
      <c r="C292" s="21"/>
      <c r="D292" s="21"/>
      <c r="E292" s="21"/>
      <c r="F292" s="21"/>
      <c r="G292" s="21"/>
      <c r="H292" s="21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</row>
    <row r="293" spans="3:38" ht="14.25">
      <c r="C293" s="21"/>
      <c r="D293" s="21"/>
      <c r="E293" s="21"/>
      <c r="F293" s="21"/>
      <c r="G293" s="21"/>
      <c r="H293" s="21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</row>
    <row r="294" spans="3:38" ht="14.25">
      <c r="C294" s="21"/>
      <c r="D294" s="21"/>
      <c r="E294" s="21"/>
      <c r="F294" s="21"/>
      <c r="G294" s="21"/>
      <c r="H294" s="21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</row>
    <row r="295" spans="3:38" ht="14.25">
      <c r="C295" s="21"/>
      <c r="D295" s="21"/>
      <c r="E295" s="21"/>
      <c r="F295" s="21"/>
      <c r="G295" s="21"/>
      <c r="H295" s="21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</row>
    <row r="296" spans="3:38" ht="14.25">
      <c r="C296" s="21"/>
      <c r="D296" s="21"/>
      <c r="E296" s="21"/>
      <c r="F296" s="21"/>
      <c r="G296" s="21"/>
      <c r="H296" s="21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</row>
    <row r="297" spans="3:38" ht="14.25">
      <c r="C297" s="21"/>
      <c r="D297" s="21"/>
      <c r="E297" s="21"/>
      <c r="F297" s="21"/>
      <c r="G297" s="21"/>
      <c r="H297" s="21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</row>
    <row r="298" spans="3:38" ht="14.25">
      <c r="C298" s="21"/>
      <c r="D298" s="21"/>
      <c r="E298" s="21"/>
      <c r="F298" s="21"/>
      <c r="G298" s="21"/>
      <c r="H298" s="21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</row>
    <row r="299" spans="3:38" ht="14.25">
      <c r="C299" s="21"/>
      <c r="D299" s="21"/>
      <c r="E299" s="21"/>
      <c r="F299" s="21"/>
      <c r="G299" s="21"/>
      <c r="H299" s="21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</row>
    <row r="300" spans="3:38" ht="14.25">
      <c r="C300" s="21"/>
      <c r="D300" s="21"/>
      <c r="E300" s="21"/>
      <c r="F300" s="21"/>
      <c r="G300" s="21"/>
      <c r="H300" s="21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</row>
    <row r="301" spans="3:38" ht="14.25">
      <c r="C301" s="21"/>
      <c r="D301" s="21"/>
      <c r="E301" s="21"/>
      <c r="F301" s="21"/>
      <c r="G301" s="21"/>
      <c r="H301" s="21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</row>
    <row r="302" spans="3:38" ht="14.25">
      <c r="C302" s="21"/>
      <c r="D302" s="21"/>
      <c r="E302" s="21"/>
      <c r="F302" s="21"/>
      <c r="G302" s="21"/>
      <c r="H302" s="21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</row>
    <row r="303" spans="3:38" ht="14.25">
      <c r="C303" s="21"/>
      <c r="D303" s="21"/>
      <c r="E303" s="21"/>
      <c r="F303" s="21"/>
      <c r="G303" s="21"/>
      <c r="H303" s="21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</row>
    <row r="304" spans="3:38" ht="14.25">
      <c r="C304" s="21"/>
      <c r="D304" s="21"/>
      <c r="E304" s="21"/>
      <c r="F304" s="21"/>
      <c r="G304" s="21"/>
      <c r="H304" s="21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</row>
    <row r="305" spans="3:38" ht="14.25">
      <c r="C305" s="21"/>
      <c r="D305" s="21"/>
      <c r="E305" s="21"/>
      <c r="F305" s="21"/>
      <c r="G305" s="21"/>
      <c r="H305" s="21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</row>
    <row r="306" spans="3:38" ht="14.25">
      <c r="C306" s="21"/>
      <c r="D306" s="21"/>
      <c r="E306" s="21"/>
      <c r="F306" s="21"/>
      <c r="G306" s="21"/>
      <c r="H306" s="21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</row>
    <row r="307" spans="3:38" ht="14.25">
      <c r="C307" s="21"/>
      <c r="D307" s="21"/>
      <c r="E307" s="21"/>
      <c r="F307" s="21"/>
      <c r="G307" s="21"/>
      <c r="H307" s="21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</row>
    <row r="308" spans="3:38" ht="14.25">
      <c r="C308" s="21"/>
      <c r="D308" s="21"/>
      <c r="E308" s="21"/>
      <c r="F308" s="21"/>
      <c r="G308" s="21"/>
      <c r="H308" s="21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</row>
    <row r="309" spans="3:38" ht="14.25">
      <c r="C309" s="21"/>
      <c r="D309" s="21"/>
      <c r="E309" s="21"/>
      <c r="F309" s="21"/>
      <c r="G309" s="21"/>
      <c r="H309" s="21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</row>
    <row r="310" spans="3:38" ht="14.25">
      <c r="C310" s="21"/>
      <c r="D310" s="21"/>
      <c r="E310" s="21"/>
      <c r="F310" s="21"/>
      <c r="G310" s="21"/>
      <c r="H310" s="21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</row>
    <row r="311" spans="3:38" ht="14.25">
      <c r="C311" s="21"/>
      <c r="D311" s="21"/>
      <c r="E311" s="21"/>
      <c r="F311" s="21"/>
      <c r="G311" s="21"/>
      <c r="H311" s="21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</row>
    <row r="312" spans="3:38" ht="14.25">
      <c r="C312" s="21"/>
      <c r="D312" s="21"/>
      <c r="E312" s="21"/>
      <c r="F312" s="21"/>
      <c r="G312" s="21"/>
      <c r="H312" s="21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</row>
    <row r="313" spans="3:38" ht="14.25">
      <c r="C313" s="21"/>
      <c r="D313" s="21"/>
      <c r="E313" s="21"/>
      <c r="F313" s="21"/>
      <c r="G313" s="21"/>
      <c r="H313" s="21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</row>
    <row r="314" spans="3:38" ht="14.25">
      <c r="C314" s="21"/>
      <c r="D314" s="21"/>
      <c r="E314" s="21"/>
      <c r="F314" s="21"/>
      <c r="G314" s="21"/>
      <c r="H314" s="21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</row>
    <row r="315" spans="3:38" ht="14.25">
      <c r="C315" s="21"/>
      <c r="D315" s="21"/>
      <c r="E315" s="21"/>
      <c r="F315" s="21"/>
      <c r="G315" s="21"/>
      <c r="H315" s="21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</row>
    <row r="316" spans="3:38" ht="14.25">
      <c r="C316" s="21"/>
      <c r="D316" s="21"/>
      <c r="E316" s="21"/>
      <c r="F316" s="21"/>
      <c r="G316" s="21"/>
      <c r="H316" s="21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</row>
    <row r="317" spans="3:38" ht="14.25">
      <c r="C317" s="21"/>
      <c r="D317" s="21"/>
      <c r="E317" s="21"/>
      <c r="F317" s="21"/>
      <c r="G317" s="21"/>
      <c r="H317" s="21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</row>
    <row r="318" spans="3:38" ht="14.25">
      <c r="C318" s="21"/>
      <c r="D318" s="21"/>
      <c r="E318" s="21"/>
      <c r="F318" s="21"/>
      <c r="G318" s="21"/>
      <c r="H318" s="21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</row>
    <row r="319" spans="3:38" ht="14.25">
      <c r="C319" s="21"/>
      <c r="D319" s="21"/>
      <c r="E319" s="21"/>
      <c r="F319" s="21"/>
      <c r="G319" s="21"/>
      <c r="H319" s="21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</row>
    <row r="320" spans="3:38" ht="14.25">
      <c r="C320" s="21"/>
      <c r="D320" s="21"/>
      <c r="E320" s="21"/>
      <c r="F320" s="21"/>
      <c r="G320" s="21"/>
      <c r="H320" s="21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</row>
    <row r="321" spans="3:38" ht="14.25">
      <c r="C321" s="21"/>
      <c r="D321" s="21"/>
      <c r="E321" s="21"/>
      <c r="F321" s="21"/>
      <c r="G321" s="21"/>
      <c r="H321" s="21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</row>
    <row r="322" spans="3:38" ht="14.25">
      <c r="C322" s="21"/>
      <c r="D322" s="21"/>
      <c r="E322" s="21"/>
      <c r="F322" s="21"/>
      <c r="G322" s="21"/>
      <c r="H322" s="21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</row>
    <row r="323" spans="3:38" ht="14.25">
      <c r="C323" s="21"/>
      <c r="D323" s="21"/>
      <c r="E323" s="21"/>
      <c r="F323" s="21"/>
      <c r="G323" s="21"/>
      <c r="H323" s="21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</row>
    <row r="324" spans="3:38" ht="14.25">
      <c r="C324" s="21"/>
      <c r="D324" s="21"/>
      <c r="E324" s="21"/>
      <c r="F324" s="21"/>
      <c r="G324" s="21"/>
      <c r="H324" s="21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</row>
    <row r="325" spans="3:38" ht="14.25">
      <c r="C325" s="21"/>
      <c r="D325" s="21"/>
      <c r="E325" s="21"/>
      <c r="F325" s="21"/>
      <c r="G325" s="21"/>
      <c r="H325" s="21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</row>
    <row r="326" spans="3:38" ht="14.25">
      <c r="C326" s="21"/>
      <c r="D326" s="21"/>
      <c r="E326" s="21"/>
      <c r="F326" s="21"/>
      <c r="G326" s="21"/>
      <c r="H326" s="21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</row>
    <row r="327" spans="3:38" ht="14.25">
      <c r="C327" s="21"/>
      <c r="D327" s="21"/>
      <c r="E327" s="21"/>
      <c r="F327" s="21"/>
      <c r="G327" s="21"/>
      <c r="H327" s="21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</row>
    <row r="328" spans="3:38" ht="14.25">
      <c r="C328" s="21"/>
      <c r="D328" s="21"/>
      <c r="E328" s="21"/>
      <c r="F328" s="21"/>
      <c r="G328" s="21"/>
      <c r="H328" s="21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</row>
    <row r="329" spans="3:38" ht="14.25">
      <c r="C329" s="21"/>
      <c r="D329" s="21"/>
      <c r="E329" s="21"/>
      <c r="F329" s="21"/>
      <c r="G329" s="21"/>
      <c r="H329" s="21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</row>
    <row r="330" spans="3:38" ht="14.25">
      <c r="C330" s="21"/>
      <c r="D330" s="21"/>
      <c r="E330" s="21"/>
      <c r="F330" s="21"/>
      <c r="G330" s="21"/>
      <c r="H330" s="21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</row>
    <row r="331" spans="3:38" ht="14.25">
      <c r="C331" s="21"/>
      <c r="D331" s="21"/>
      <c r="E331" s="21"/>
      <c r="F331" s="21"/>
      <c r="G331" s="21"/>
      <c r="H331" s="21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</row>
    <row r="332" spans="3:38" ht="14.25">
      <c r="C332" s="21"/>
      <c r="D332" s="21"/>
      <c r="E332" s="21"/>
      <c r="F332" s="21"/>
      <c r="G332" s="21"/>
      <c r="H332" s="21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</row>
    <row r="333" spans="3:38" ht="14.25">
      <c r="C333" s="21"/>
      <c r="D333" s="21"/>
      <c r="E333" s="21"/>
      <c r="F333" s="21"/>
      <c r="G333" s="21"/>
      <c r="H333" s="21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</row>
    <row r="334" spans="3:38" ht="14.25">
      <c r="C334" s="21"/>
      <c r="D334" s="21"/>
      <c r="E334" s="21"/>
      <c r="F334" s="21"/>
      <c r="G334" s="21"/>
      <c r="H334" s="21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</row>
    <row r="335" spans="3:38" ht="14.25">
      <c r="C335" s="21"/>
      <c r="D335" s="21"/>
      <c r="E335" s="21"/>
      <c r="F335" s="21"/>
      <c r="G335" s="21"/>
      <c r="H335" s="21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</row>
    <row r="336" spans="3:38" ht="14.25">
      <c r="C336" s="21"/>
      <c r="D336" s="21"/>
      <c r="E336" s="21"/>
      <c r="F336" s="21"/>
      <c r="G336" s="21"/>
      <c r="H336" s="21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</row>
    <row r="337" spans="3:38" ht="14.25">
      <c r="C337" s="21"/>
      <c r="D337" s="21"/>
      <c r="E337" s="21"/>
      <c r="F337" s="21"/>
      <c r="G337" s="21"/>
      <c r="H337" s="21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</row>
    <row r="338" spans="3:38" ht="14.25">
      <c r="C338" s="21"/>
      <c r="D338" s="21"/>
      <c r="E338" s="21"/>
      <c r="F338" s="21"/>
      <c r="G338" s="21"/>
      <c r="H338" s="21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</row>
    <row r="339" spans="3:38" ht="14.25">
      <c r="C339" s="21"/>
      <c r="D339" s="21"/>
      <c r="E339" s="21"/>
      <c r="F339" s="21"/>
      <c r="G339" s="21"/>
      <c r="H339" s="21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</row>
    <row r="340" spans="3:38" ht="14.25">
      <c r="C340" s="21"/>
      <c r="D340" s="21"/>
      <c r="E340" s="21"/>
      <c r="F340" s="21"/>
      <c r="G340" s="21"/>
      <c r="H340" s="21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</row>
    <row r="341" spans="3:38" ht="14.25">
      <c r="C341" s="21"/>
      <c r="D341" s="21"/>
      <c r="E341" s="21"/>
      <c r="F341" s="21"/>
      <c r="G341" s="21"/>
      <c r="H341" s="21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</row>
    <row r="342" spans="3:38" ht="14.25">
      <c r="C342" s="21"/>
      <c r="D342" s="21"/>
      <c r="E342" s="21"/>
      <c r="F342" s="21"/>
      <c r="G342" s="21"/>
      <c r="H342" s="21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</row>
    <row r="343" spans="3:38" ht="14.25">
      <c r="C343" s="21"/>
      <c r="D343" s="21"/>
      <c r="E343" s="21"/>
      <c r="F343" s="21"/>
      <c r="G343" s="21"/>
      <c r="H343" s="21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</row>
  </sheetData>
  <pageMargins left="0.75" right="0.75" top="1" bottom="1" header="0.1" footer="0.5"/>
  <pageSetup orientation="portrait" r:id="rId1"/>
  <headerFooter alignWithMargins="0">
    <oddHeader>&amp;L&amp;"Arial,Bold"&amp;10 3:26 PM
&amp;"Arial,Bold"&amp;10 07/11/16
&amp;"Arial,Bold"&amp;10 Accrual Basis&amp;C&amp;"Arial,Bold"&amp;10 Democracy Now! Productions, Inc.
&amp;"Arial,Bold"&amp;14 Profit &amp;&amp; Loss by Class
&amp;"Arial,Bold"&amp;10 January 2012 through August 2016</oddHeader>
    <oddFooter>&amp;R&amp;"Arial,Bold"&amp;10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">
    <tabColor rgb="FFFFFF00"/>
  </sheetPr>
  <dimension ref="A1:IV343"/>
  <sheetViews>
    <sheetView workbookViewId="0">
      <pane xSplit="8" ySplit="3" topLeftCell="K34" activePane="bottomRight" state="frozenSplit"/>
      <selection activeCell="I3" sqref="I3:J52"/>
      <selection pane="topRight" activeCell="I3" sqref="I3:J52"/>
      <selection pane="bottomLeft" activeCell="I3" sqref="I3:J52"/>
      <selection pane="bottomRight" activeCell="I3" sqref="I3:J52"/>
    </sheetView>
  </sheetViews>
  <sheetFormatPr defaultColWidth="9.1328125" defaultRowHeight="13.15"/>
  <cols>
    <col min="1" max="1" width="9.1328125" style="87"/>
    <col min="2" max="2" width="40.1328125" style="86" customWidth="1"/>
    <col min="3" max="7" width="3" style="19" customWidth="1"/>
    <col min="8" max="8" width="40.1328125" style="19" customWidth="1"/>
    <col min="9" max="12" width="23.3984375" style="20" customWidth="1"/>
    <col min="13" max="13" width="19.86328125" style="20" bestFit="1" customWidth="1"/>
    <col min="14" max="14" width="14.73046875" style="20" bestFit="1" customWidth="1"/>
    <col min="15" max="15" width="17" style="20" bestFit="1" customWidth="1"/>
    <col min="16" max="16" width="15.86328125" style="20" bestFit="1" customWidth="1"/>
    <col min="17" max="17" width="14" style="20" bestFit="1" customWidth="1"/>
    <col min="18" max="18" width="19.3984375" style="20" bestFit="1" customWidth="1"/>
    <col min="19" max="19" width="12.3984375" style="20" bestFit="1" customWidth="1"/>
    <col min="20" max="20" width="16.59765625" style="20" bestFit="1" customWidth="1"/>
    <col min="21" max="21" width="16.1328125" style="20" bestFit="1" customWidth="1"/>
    <col min="22" max="22" width="19" style="20" bestFit="1" customWidth="1"/>
    <col min="23" max="23" width="12" style="20" bestFit="1" customWidth="1"/>
    <col min="24" max="24" width="16.1328125" style="20" bestFit="1" customWidth="1"/>
    <col min="25" max="27" width="14" style="20" bestFit="1" customWidth="1"/>
    <col min="28" max="28" width="18.1328125" style="20" bestFit="1" customWidth="1"/>
    <col min="29" max="29" width="15.3984375" style="20" bestFit="1" customWidth="1"/>
    <col min="30" max="30" width="19.59765625" style="20" bestFit="1" customWidth="1"/>
    <col min="31" max="32" width="10.3984375" style="20" bestFit="1" customWidth="1"/>
    <col min="33" max="33" width="17.3984375" style="20" bestFit="1" customWidth="1"/>
    <col min="34" max="34" width="15" style="20" bestFit="1" customWidth="1"/>
    <col min="35" max="35" width="16.1328125" style="20" bestFit="1" customWidth="1"/>
    <col min="36" max="36" width="14.59765625" style="20" bestFit="1" customWidth="1"/>
    <col min="37" max="37" width="11.86328125" style="20" bestFit="1" customWidth="1"/>
    <col min="38" max="38" width="11.73046875" style="20" bestFit="1" customWidth="1"/>
    <col min="39" max="39" width="9.1328125" style="17"/>
    <col min="40" max="40" width="14.59765625" style="17" bestFit="1" customWidth="1"/>
    <col min="41" max="41" width="11.86328125" style="17" bestFit="1" customWidth="1"/>
    <col min="42" max="42" width="11.73046875" style="17" bestFit="1" customWidth="1"/>
    <col min="43" max="16384" width="9.1328125" style="17"/>
  </cols>
  <sheetData>
    <row r="1" spans="1:256" s="87" customFormat="1" ht="12.75">
      <c r="A1" s="85">
        <v>1</v>
      </c>
      <c r="B1" s="85">
        <f t="shared" ref="B1:BM1" si="0">A1+1</f>
        <v>2</v>
      </c>
      <c r="C1" s="85">
        <f t="shared" si="0"/>
        <v>3</v>
      </c>
      <c r="D1" s="85">
        <f t="shared" si="0"/>
        <v>4</v>
      </c>
      <c r="E1" s="85">
        <f t="shared" si="0"/>
        <v>5</v>
      </c>
      <c r="F1" s="85">
        <f t="shared" si="0"/>
        <v>6</v>
      </c>
      <c r="G1" s="85">
        <f t="shared" si="0"/>
        <v>7</v>
      </c>
      <c r="H1" s="85">
        <f t="shared" si="0"/>
        <v>8</v>
      </c>
      <c r="I1" s="85">
        <f t="shared" si="0"/>
        <v>9</v>
      </c>
      <c r="J1" s="85">
        <f t="shared" si="0"/>
        <v>10</v>
      </c>
      <c r="K1" s="85">
        <f t="shared" si="0"/>
        <v>11</v>
      </c>
      <c r="L1" s="85">
        <f t="shared" si="0"/>
        <v>12</v>
      </c>
      <c r="M1" s="85">
        <f t="shared" si="0"/>
        <v>13</v>
      </c>
      <c r="N1" s="85">
        <f t="shared" si="0"/>
        <v>14</v>
      </c>
      <c r="O1" s="85">
        <f t="shared" si="0"/>
        <v>15</v>
      </c>
      <c r="P1" s="85">
        <f t="shared" si="0"/>
        <v>16</v>
      </c>
      <c r="Q1" s="85">
        <f t="shared" si="0"/>
        <v>17</v>
      </c>
      <c r="R1" s="85">
        <f t="shared" si="0"/>
        <v>18</v>
      </c>
      <c r="S1" s="85">
        <f t="shared" si="0"/>
        <v>19</v>
      </c>
      <c r="T1" s="85">
        <f t="shared" si="0"/>
        <v>20</v>
      </c>
      <c r="U1" s="85">
        <f t="shared" si="0"/>
        <v>21</v>
      </c>
      <c r="V1" s="85">
        <f t="shared" si="0"/>
        <v>22</v>
      </c>
      <c r="W1" s="85">
        <f t="shared" si="0"/>
        <v>23</v>
      </c>
      <c r="X1" s="85">
        <f t="shared" si="0"/>
        <v>24</v>
      </c>
      <c r="Y1" s="85">
        <f t="shared" si="0"/>
        <v>25</v>
      </c>
      <c r="Z1" s="85">
        <f t="shared" si="0"/>
        <v>26</v>
      </c>
      <c r="AA1" s="85">
        <f t="shared" si="0"/>
        <v>27</v>
      </c>
      <c r="AB1" s="85">
        <f t="shared" si="0"/>
        <v>28</v>
      </c>
      <c r="AC1" s="85">
        <f t="shared" si="0"/>
        <v>29</v>
      </c>
      <c r="AD1" s="85">
        <f t="shared" si="0"/>
        <v>30</v>
      </c>
      <c r="AE1" s="85">
        <f t="shared" si="0"/>
        <v>31</v>
      </c>
      <c r="AF1" s="85">
        <f t="shared" si="0"/>
        <v>32</v>
      </c>
      <c r="AG1" s="85">
        <f t="shared" si="0"/>
        <v>33</v>
      </c>
      <c r="AH1" s="85">
        <f t="shared" si="0"/>
        <v>34</v>
      </c>
      <c r="AI1" s="85">
        <f t="shared" si="0"/>
        <v>35</v>
      </c>
      <c r="AJ1" s="85">
        <f t="shared" si="0"/>
        <v>36</v>
      </c>
      <c r="AK1" s="85">
        <f t="shared" si="0"/>
        <v>37</v>
      </c>
      <c r="AL1" s="85">
        <f t="shared" si="0"/>
        <v>38</v>
      </c>
      <c r="AM1" s="85">
        <f t="shared" si="0"/>
        <v>39</v>
      </c>
      <c r="AN1" s="85">
        <f t="shared" si="0"/>
        <v>40</v>
      </c>
      <c r="AO1" s="85">
        <f t="shared" si="0"/>
        <v>41</v>
      </c>
      <c r="AP1" s="85">
        <f t="shared" si="0"/>
        <v>42</v>
      </c>
      <c r="AQ1" s="85">
        <f t="shared" si="0"/>
        <v>43</v>
      </c>
      <c r="AR1" s="85">
        <f t="shared" si="0"/>
        <v>44</v>
      </c>
      <c r="AS1" s="85">
        <f t="shared" si="0"/>
        <v>45</v>
      </c>
      <c r="AT1" s="85">
        <f t="shared" si="0"/>
        <v>46</v>
      </c>
      <c r="AU1" s="85">
        <f t="shared" si="0"/>
        <v>47</v>
      </c>
      <c r="AV1" s="85">
        <f t="shared" si="0"/>
        <v>48</v>
      </c>
      <c r="AW1" s="85">
        <f t="shared" si="0"/>
        <v>49</v>
      </c>
      <c r="AX1" s="85">
        <f t="shared" si="0"/>
        <v>50</v>
      </c>
      <c r="AY1" s="85">
        <f t="shared" si="0"/>
        <v>51</v>
      </c>
      <c r="AZ1" s="85">
        <f t="shared" si="0"/>
        <v>52</v>
      </c>
      <c r="BA1" s="85">
        <f t="shared" si="0"/>
        <v>53</v>
      </c>
      <c r="BB1" s="85">
        <f t="shared" si="0"/>
        <v>54</v>
      </c>
      <c r="BC1" s="85">
        <f t="shared" si="0"/>
        <v>55</v>
      </c>
      <c r="BD1" s="85">
        <f t="shared" si="0"/>
        <v>56</v>
      </c>
      <c r="BE1" s="85">
        <f t="shared" si="0"/>
        <v>57</v>
      </c>
      <c r="BF1" s="85">
        <f t="shared" si="0"/>
        <v>58</v>
      </c>
      <c r="BG1" s="85">
        <f t="shared" si="0"/>
        <v>59</v>
      </c>
      <c r="BH1" s="85">
        <f t="shared" si="0"/>
        <v>60</v>
      </c>
      <c r="BI1" s="85">
        <f t="shared" si="0"/>
        <v>61</v>
      </c>
      <c r="BJ1" s="85">
        <f t="shared" si="0"/>
        <v>62</v>
      </c>
      <c r="BK1" s="85">
        <f t="shared" si="0"/>
        <v>63</v>
      </c>
      <c r="BL1" s="85">
        <f t="shared" si="0"/>
        <v>64</v>
      </c>
      <c r="BM1" s="85">
        <f t="shared" si="0"/>
        <v>65</v>
      </c>
      <c r="BN1" s="85">
        <f t="shared" ref="BN1:DY1" si="1">BM1+1</f>
        <v>66</v>
      </c>
      <c r="BO1" s="85">
        <f t="shared" si="1"/>
        <v>67</v>
      </c>
      <c r="BP1" s="85">
        <f t="shared" si="1"/>
        <v>68</v>
      </c>
      <c r="BQ1" s="85">
        <f t="shared" si="1"/>
        <v>69</v>
      </c>
      <c r="BR1" s="85">
        <f t="shared" si="1"/>
        <v>70</v>
      </c>
      <c r="BS1" s="85">
        <f t="shared" si="1"/>
        <v>71</v>
      </c>
      <c r="BT1" s="85">
        <f t="shared" si="1"/>
        <v>72</v>
      </c>
      <c r="BU1" s="85">
        <f t="shared" si="1"/>
        <v>73</v>
      </c>
      <c r="BV1" s="85">
        <f t="shared" si="1"/>
        <v>74</v>
      </c>
      <c r="BW1" s="85">
        <f t="shared" si="1"/>
        <v>75</v>
      </c>
      <c r="BX1" s="85">
        <f t="shared" si="1"/>
        <v>76</v>
      </c>
      <c r="BY1" s="85">
        <f t="shared" si="1"/>
        <v>77</v>
      </c>
      <c r="BZ1" s="85">
        <f t="shared" si="1"/>
        <v>78</v>
      </c>
      <c r="CA1" s="85">
        <f t="shared" si="1"/>
        <v>79</v>
      </c>
      <c r="CB1" s="85">
        <f t="shared" si="1"/>
        <v>80</v>
      </c>
      <c r="CC1" s="85">
        <f t="shared" si="1"/>
        <v>81</v>
      </c>
      <c r="CD1" s="85">
        <f t="shared" si="1"/>
        <v>82</v>
      </c>
      <c r="CE1" s="85">
        <f t="shared" si="1"/>
        <v>83</v>
      </c>
      <c r="CF1" s="85">
        <f t="shared" si="1"/>
        <v>84</v>
      </c>
      <c r="CG1" s="85">
        <f t="shared" si="1"/>
        <v>85</v>
      </c>
      <c r="CH1" s="85">
        <f t="shared" si="1"/>
        <v>86</v>
      </c>
      <c r="CI1" s="85">
        <f t="shared" si="1"/>
        <v>87</v>
      </c>
      <c r="CJ1" s="85">
        <f t="shared" si="1"/>
        <v>88</v>
      </c>
      <c r="CK1" s="85">
        <f t="shared" si="1"/>
        <v>89</v>
      </c>
      <c r="CL1" s="85">
        <f t="shared" si="1"/>
        <v>90</v>
      </c>
      <c r="CM1" s="85">
        <f t="shared" si="1"/>
        <v>91</v>
      </c>
      <c r="CN1" s="85">
        <f t="shared" si="1"/>
        <v>92</v>
      </c>
      <c r="CO1" s="85">
        <f t="shared" si="1"/>
        <v>93</v>
      </c>
      <c r="CP1" s="85">
        <f t="shared" si="1"/>
        <v>94</v>
      </c>
      <c r="CQ1" s="85">
        <f t="shared" si="1"/>
        <v>95</v>
      </c>
      <c r="CR1" s="85">
        <f t="shared" si="1"/>
        <v>96</v>
      </c>
      <c r="CS1" s="85">
        <f t="shared" si="1"/>
        <v>97</v>
      </c>
      <c r="CT1" s="85">
        <f t="shared" si="1"/>
        <v>98</v>
      </c>
      <c r="CU1" s="85">
        <f t="shared" si="1"/>
        <v>99</v>
      </c>
      <c r="CV1" s="85">
        <f t="shared" si="1"/>
        <v>100</v>
      </c>
      <c r="CW1" s="85">
        <f t="shared" si="1"/>
        <v>101</v>
      </c>
      <c r="CX1" s="85">
        <f t="shared" si="1"/>
        <v>102</v>
      </c>
      <c r="CY1" s="85">
        <f t="shared" si="1"/>
        <v>103</v>
      </c>
      <c r="CZ1" s="85">
        <f t="shared" si="1"/>
        <v>104</v>
      </c>
      <c r="DA1" s="85">
        <f t="shared" si="1"/>
        <v>105</v>
      </c>
      <c r="DB1" s="85">
        <f t="shared" si="1"/>
        <v>106</v>
      </c>
      <c r="DC1" s="85">
        <f t="shared" si="1"/>
        <v>107</v>
      </c>
      <c r="DD1" s="85">
        <f t="shared" si="1"/>
        <v>108</v>
      </c>
      <c r="DE1" s="85">
        <f t="shared" si="1"/>
        <v>109</v>
      </c>
      <c r="DF1" s="85">
        <f t="shared" si="1"/>
        <v>110</v>
      </c>
      <c r="DG1" s="85">
        <f t="shared" si="1"/>
        <v>111</v>
      </c>
      <c r="DH1" s="85">
        <f t="shared" si="1"/>
        <v>112</v>
      </c>
      <c r="DI1" s="85">
        <f t="shared" si="1"/>
        <v>113</v>
      </c>
      <c r="DJ1" s="85">
        <f t="shared" si="1"/>
        <v>114</v>
      </c>
      <c r="DK1" s="85">
        <f t="shared" si="1"/>
        <v>115</v>
      </c>
      <c r="DL1" s="85">
        <f t="shared" si="1"/>
        <v>116</v>
      </c>
      <c r="DM1" s="85">
        <f t="shared" si="1"/>
        <v>117</v>
      </c>
      <c r="DN1" s="85">
        <f t="shared" si="1"/>
        <v>118</v>
      </c>
      <c r="DO1" s="85">
        <f t="shared" si="1"/>
        <v>119</v>
      </c>
      <c r="DP1" s="85">
        <f t="shared" si="1"/>
        <v>120</v>
      </c>
      <c r="DQ1" s="85">
        <f t="shared" si="1"/>
        <v>121</v>
      </c>
      <c r="DR1" s="85">
        <f t="shared" si="1"/>
        <v>122</v>
      </c>
      <c r="DS1" s="85">
        <f t="shared" si="1"/>
        <v>123</v>
      </c>
      <c r="DT1" s="85">
        <f t="shared" si="1"/>
        <v>124</v>
      </c>
      <c r="DU1" s="85">
        <f t="shared" si="1"/>
        <v>125</v>
      </c>
      <c r="DV1" s="85">
        <f t="shared" si="1"/>
        <v>126</v>
      </c>
      <c r="DW1" s="85">
        <f t="shared" si="1"/>
        <v>127</v>
      </c>
      <c r="DX1" s="85">
        <f t="shared" si="1"/>
        <v>128</v>
      </c>
      <c r="DY1" s="85">
        <f t="shared" si="1"/>
        <v>129</v>
      </c>
      <c r="DZ1" s="85">
        <f t="shared" ref="DZ1:GK1" si="2">DY1+1</f>
        <v>130</v>
      </c>
      <c r="EA1" s="85">
        <f t="shared" si="2"/>
        <v>131</v>
      </c>
      <c r="EB1" s="85">
        <f t="shared" si="2"/>
        <v>132</v>
      </c>
      <c r="EC1" s="85">
        <f t="shared" si="2"/>
        <v>133</v>
      </c>
      <c r="ED1" s="85">
        <f t="shared" si="2"/>
        <v>134</v>
      </c>
      <c r="EE1" s="85">
        <f t="shared" si="2"/>
        <v>135</v>
      </c>
      <c r="EF1" s="85">
        <f t="shared" si="2"/>
        <v>136</v>
      </c>
      <c r="EG1" s="85">
        <f t="shared" si="2"/>
        <v>137</v>
      </c>
      <c r="EH1" s="85">
        <f t="shared" si="2"/>
        <v>138</v>
      </c>
      <c r="EI1" s="85">
        <f t="shared" si="2"/>
        <v>139</v>
      </c>
      <c r="EJ1" s="85">
        <f t="shared" si="2"/>
        <v>140</v>
      </c>
      <c r="EK1" s="85">
        <f t="shared" si="2"/>
        <v>141</v>
      </c>
      <c r="EL1" s="85">
        <f t="shared" si="2"/>
        <v>142</v>
      </c>
      <c r="EM1" s="85">
        <f t="shared" si="2"/>
        <v>143</v>
      </c>
      <c r="EN1" s="85">
        <f t="shared" si="2"/>
        <v>144</v>
      </c>
      <c r="EO1" s="85">
        <f t="shared" si="2"/>
        <v>145</v>
      </c>
      <c r="EP1" s="85">
        <f t="shared" si="2"/>
        <v>146</v>
      </c>
      <c r="EQ1" s="85">
        <f t="shared" si="2"/>
        <v>147</v>
      </c>
      <c r="ER1" s="85">
        <f t="shared" si="2"/>
        <v>148</v>
      </c>
      <c r="ES1" s="85">
        <f t="shared" si="2"/>
        <v>149</v>
      </c>
      <c r="ET1" s="85">
        <f t="shared" si="2"/>
        <v>150</v>
      </c>
      <c r="EU1" s="85">
        <f t="shared" si="2"/>
        <v>151</v>
      </c>
      <c r="EV1" s="85">
        <f t="shared" si="2"/>
        <v>152</v>
      </c>
      <c r="EW1" s="85">
        <f t="shared" si="2"/>
        <v>153</v>
      </c>
      <c r="EX1" s="85">
        <f t="shared" si="2"/>
        <v>154</v>
      </c>
      <c r="EY1" s="85">
        <f t="shared" si="2"/>
        <v>155</v>
      </c>
      <c r="EZ1" s="85">
        <f t="shared" si="2"/>
        <v>156</v>
      </c>
      <c r="FA1" s="85">
        <f t="shared" si="2"/>
        <v>157</v>
      </c>
      <c r="FB1" s="85">
        <f t="shared" si="2"/>
        <v>158</v>
      </c>
      <c r="FC1" s="85">
        <f t="shared" si="2"/>
        <v>159</v>
      </c>
      <c r="FD1" s="85">
        <f t="shared" si="2"/>
        <v>160</v>
      </c>
      <c r="FE1" s="85">
        <f t="shared" si="2"/>
        <v>161</v>
      </c>
      <c r="FF1" s="85">
        <f t="shared" si="2"/>
        <v>162</v>
      </c>
      <c r="FG1" s="85">
        <f t="shared" si="2"/>
        <v>163</v>
      </c>
      <c r="FH1" s="85">
        <f t="shared" si="2"/>
        <v>164</v>
      </c>
      <c r="FI1" s="85">
        <f t="shared" si="2"/>
        <v>165</v>
      </c>
      <c r="FJ1" s="85">
        <f t="shared" si="2"/>
        <v>166</v>
      </c>
      <c r="FK1" s="85">
        <f t="shared" si="2"/>
        <v>167</v>
      </c>
      <c r="FL1" s="85">
        <f t="shared" si="2"/>
        <v>168</v>
      </c>
      <c r="FM1" s="85">
        <f t="shared" si="2"/>
        <v>169</v>
      </c>
      <c r="FN1" s="85">
        <f t="shared" si="2"/>
        <v>170</v>
      </c>
      <c r="FO1" s="85">
        <f t="shared" si="2"/>
        <v>171</v>
      </c>
      <c r="FP1" s="85">
        <f t="shared" si="2"/>
        <v>172</v>
      </c>
      <c r="FQ1" s="85">
        <f t="shared" si="2"/>
        <v>173</v>
      </c>
      <c r="FR1" s="85">
        <f t="shared" si="2"/>
        <v>174</v>
      </c>
      <c r="FS1" s="85">
        <f t="shared" si="2"/>
        <v>175</v>
      </c>
      <c r="FT1" s="85">
        <f t="shared" si="2"/>
        <v>176</v>
      </c>
      <c r="FU1" s="85">
        <f t="shared" si="2"/>
        <v>177</v>
      </c>
      <c r="FV1" s="85">
        <f t="shared" si="2"/>
        <v>178</v>
      </c>
      <c r="FW1" s="85">
        <f t="shared" si="2"/>
        <v>179</v>
      </c>
      <c r="FX1" s="85">
        <f t="shared" si="2"/>
        <v>180</v>
      </c>
      <c r="FY1" s="85">
        <f t="shared" si="2"/>
        <v>181</v>
      </c>
      <c r="FZ1" s="85">
        <f t="shared" si="2"/>
        <v>182</v>
      </c>
      <c r="GA1" s="85">
        <f t="shared" si="2"/>
        <v>183</v>
      </c>
      <c r="GB1" s="85">
        <f t="shared" si="2"/>
        <v>184</v>
      </c>
      <c r="GC1" s="85">
        <f t="shared" si="2"/>
        <v>185</v>
      </c>
      <c r="GD1" s="85">
        <f t="shared" si="2"/>
        <v>186</v>
      </c>
      <c r="GE1" s="85">
        <f t="shared" si="2"/>
        <v>187</v>
      </c>
      <c r="GF1" s="85">
        <f t="shared" si="2"/>
        <v>188</v>
      </c>
      <c r="GG1" s="85">
        <f t="shared" si="2"/>
        <v>189</v>
      </c>
      <c r="GH1" s="85">
        <f t="shared" si="2"/>
        <v>190</v>
      </c>
      <c r="GI1" s="85">
        <f t="shared" si="2"/>
        <v>191</v>
      </c>
      <c r="GJ1" s="85">
        <f t="shared" si="2"/>
        <v>192</v>
      </c>
      <c r="GK1" s="85">
        <f t="shared" si="2"/>
        <v>193</v>
      </c>
      <c r="GL1" s="85">
        <f t="shared" ref="GL1:IV1" si="3">GK1+1</f>
        <v>194</v>
      </c>
      <c r="GM1" s="85">
        <f t="shared" si="3"/>
        <v>195</v>
      </c>
      <c r="GN1" s="85">
        <f t="shared" si="3"/>
        <v>196</v>
      </c>
      <c r="GO1" s="85">
        <f t="shared" si="3"/>
        <v>197</v>
      </c>
      <c r="GP1" s="85">
        <f t="shared" si="3"/>
        <v>198</v>
      </c>
      <c r="GQ1" s="85">
        <f t="shared" si="3"/>
        <v>199</v>
      </c>
      <c r="GR1" s="85">
        <f t="shared" si="3"/>
        <v>200</v>
      </c>
      <c r="GS1" s="85">
        <f t="shared" si="3"/>
        <v>201</v>
      </c>
      <c r="GT1" s="85">
        <f t="shared" si="3"/>
        <v>202</v>
      </c>
      <c r="GU1" s="85">
        <f t="shared" si="3"/>
        <v>203</v>
      </c>
      <c r="GV1" s="85">
        <f t="shared" si="3"/>
        <v>204</v>
      </c>
      <c r="GW1" s="85">
        <f t="shared" si="3"/>
        <v>205</v>
      </c>
      <c r="GX1" s="85">
        <f t="shared" si="3"/>
        <v>206</v>
      </c>
      <c r="GY1" s="85">
        <f t="shared" si="3"/>
        <v>207</v>
      </c>
      <c r="GZ1" s="85">
        <f t="shared" si="3"/>
        <v>208</v>
      </c>
      <c r="HA1" s="85">
        <f t="shared" si="3"/>
        <v>209</v>
      </c>
      <c r="HB1" s="85">
        <f t="shared" si="3"/>
        <v>210</v>
      </c>
      <c r="HC1" s="85">
        <f t="shared" si="3"/>
        <v>211</v>
      </c>
      <c r="HD1" s="85">
        <f t="shared" si="3"/>
        <v>212</v>
      </c>
      <c r="HE1" s="85">
        <f t="shared" si="3"/>
        <v>213</v>
      </c>
      <c r="HF1" s="85">
        <f t="shared" si="3"/>
        <v>214</v>
      </c>
      <c r="HG1" s="85">
        <f t="shared" si="3"/>
        <v>215</v>
      </c>
      <c r="HH1" s="85">
        <f t="shared" si="3"/>
        <v>216</v>
      </c>
      <c r="HI1" s="85">
        <f t="shared" si="3"/>
        <v>217</v>
      </c>
      <c r="HJ1" s="85">
        <f t="shared" si="3"/>
        <v>218</v>
      </c>
      <c r="HK1" s="85">
        <f t="shared" si="3"/>
        <v>219</v>
      </c>
      <c r="HL1" s="85">
        <f t="shared" si="3"/>
        <v>220</v>
      </c>
      <c r="HM1" s="85">
        <f t="shared" si="3"/>
        <v>221</v>
      </c>
      <c r="HN1" s="85">
        <f t="shared" si="3"/>
        <v>222</v>
      </c>
      <c r="HO1" s="85">
        <f t="shared" si="3"/>
        <v>223</v>
      </c>
      <c r="HP1" s="85">
        <f t="shared" si="3"/>
        <v>224</v>
      </c>
      <c r="HQ1" s="85">
        <f t="shared" si="3"/>
        <v>225</v>
      </c>
      <c r="HR1" s="85">
        <f t="shared" si="3"/>
        <v>226</v>
      </c>
      <c r="HS1" s="85">
        <f t="shared" si="3"/>
        <v>227</v>
      </c>
      <c r="HT1" s="85">
        <f t="shared" si="3"/>
        <v>228</v>
      </c>
      <c r="HU1" s="85">
        <f t="shared" si="3"/>
        <v>229</v>
      </c>
      <c r="HV1" s="85">
        <f t="shared" si="3"/>
        <v>230</v>
      </c>
      <c r="HW1" s="85">
        <f t="shared" si="3"/>
        <v>231</v>
      </c>
      <c r="HX1" s="85">
        <f t="shared" si="3"/>
        <v>232</v>
      </c>
      <c r="HY1" s="85">
        <f t="shared" si="3"/>
        <v>233</v>
      </c>
      <c r="HZ1" s="85">
        <f t="shared" si="3"/>
        <v>234</v>
      </c>
      <c r="IA1" s="85">
        <f t="shared" si="3"/>
        <v>235</v>
      </c>
      <c r="IB1" s="85">
        <f t="shared" si="3"/>
        <v>236</v>
      </c>
      <c r="IC1" s="85">
        <f t="shared" si="3"/>
        <v>237</v>
      </c>
      <c r="ID1" s="85">
        <f t="shared" si="3"/>
        <v>238</v>
      </c>
      <c r="IE1" s="85">
        <f t="shared" si="3"/>
        <v>239</v>
      </c>
      <c r="IF1" s="85">
        <f t="shared" si="3"/>
        <v>240</v>
      </c>
      <c r="IG1" s="85">
        <f t="shared" si="3"/>
        <v>241</v>
      </c>
      <c r="IH1" s="85">
        <f t="shared" si="3"/>
        <v>242</v>
      </c>
      <c r="II1" s="85">
        <f t="shared" si="3"/>
        <v>243</v>
      </c>
      <c r="IJ1" s="85">
        <f t="shared" si="3"/>
        <v>244</v>
      </c>
      <c r="IK1" s="85">
        <f t="shared" si="3"/>
        <v>245</v>
      </c>
      <c r="IL1" s="85">
        <f t="shared" si="3"/>
        <v>246</v>
      </c>
      <c r="IM1" s="85">
        <f t="shared" si="3"/>
        <v>247</v>
      </c>
      <c r="IN1" s="85">
        <f t="shared" si="3"/>
        <v>248</v>
      </c>
      <c r="IO1" s="85">
        <f t="shared" si="3"/>
        <v>249</v>
      </c>
      <c r="IP1" s="85">
        <f t="shared" si="3"/>
        <v>250</v>
      </c>
      <c r="IQ1" s="85">
        <f t="shared" si="3"/>
        <v>251</v>
      </c>
      <c r="IR1" s="85">
        <f t="shared" si="3"/>
        <v>252</v>
      </c>
      <c r="IS1" s="85">
        <f t="shared" si="3"/>
        <v>253</v>
      </c>
      <c r="IT1" s="85">
        <f t="shared" si="3"/>
        <v>254</v>
      </c>
      <c r="IU1" s="85">
        <f t="shared" si="3"/>
        <v>255</v>
      </c>
      <c r="IV1" s="85">
        <f t="shared" si="3"/>
        <v>256</v>
      </c>
    </row>
    <row r="2" spans="1:256" s="85" customFormat="1" ht="14.25">
      <c r="A2" s="85">
        <f>A1+1</f>
        <v>2</v>
      </c>
      <c r="B2" s="85" t="s">
        <v>103</v>
      </c>
      <c r="C2" s="88"/>
      <c r="D2" s="88"/>
      <c r="E2" s="88"/>
      <c r="F2" s="88"/>
      <c r="G2" s="88"/>
      <c r="H2" s="88"/>
      <c r="I2" s="89"/>
      <c r="J2" s="89"/>
      <c r="K2" s="88"/>
      <c r="L2" s="88"/>
      <c r="M2" s="88"/>
      <c r="N2" s="88"/>
      <c r="O2" s="88"/>
      <c r="P2" s="89"/>
      <c r="Q2" s="88"/>
      <c r="R2" s="89"/>
      <c r="S2" s="88"/>
      <c r="T2" s="88"/>
      <c r="U2" s="89"/>
      <c r="V2" s="88"/>
      <c r="W2" s="88"/>
      <c r="X2" s="88"/>
      <c r="Y2" s="88"/>
      <c r="Z2" s="88"/>
      <c r="AA2" s="89"/>
      <c r="AB2" s="88"/>
      <c r="AC2" s="88"/>
      <c r="AD2" s="88"/>
      <c r="AE2" s="88"/>
      <c r="AF2" s="89"/>
      <c r="AG2" s="88"/>
      <c r="AH2" s="89"/>
      <c r="AI2" s="88"/>
      <c r="AJ2" s="88"/>
      <c r="AK2" s="88"/>
      <c r="AL2" s="88"/>
      <c r="AM2" s="88"/>
      <c r="AN2" s="89"/>
      <c r="AO2" s="89"/>
      <c r="AP2" s="89"/>
      <c r="AQ2" s="90"/>
      <c r="AR2" s="90"/>
      <c r="AS2" s="90"/>
      <c r="AT2" s="90"/>
      <c r="AU2" s="90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</row>
    <row r="3" spans="1:256" s="16" customFormat="1" ht="14.25">
      <c r="A3" s="85">
        <f>A2+1</f>
        <v>3</v>
      </c>
      <c r="B3" s="86" t="str">
        <f t="shared" ref="B3:B34" si="4">C3&amp;D3&amp;E3&amp;F3&amp;G3&amp;H3</f>
        <v/>
      </c>
      <c r="C3" s="44"/>
      <c r="D3" s="44"/>
      <c r="E3" s="44"/>
      <c r="F3" s="44"/>
      <c r="G3" s="44"/>
      <c r="H3" s="64"/>
      <c r="I3" s="204" t="s">
        <v>58</v>
      </c>
      <c r="J3" s="204" t="s">
        <v>59</v>
      </c>
      <c r="K3" s="204" t="s">
        <v>60</v>
      </c>
      <c r="L3" s="204" t="s">
        <v>47</v>
      </c>
      <c r="M3" s="122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5"/>
      <c r="AR3" s="45"/>
      <c r="AS3" s="45"/>
      <c r="AT3" s="45"/>
      <c r="AU3" s="45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</row>
    <row r="4" spans="1:256" ht="14.25">
      <c r="A4" s="85">
        <f t="shared" ref="A4:A67" si="5">A3+1</f>
        <v>4</v>
      </c>
      <c r="B4" s="86" t="str">
        <f t="shared" si="4"/>
        <v>Revenue</v>
      </c>
      <c r="C4" s="46"/>
      <c r="D4" s="46"/>
      <c r="E4" s="46"/>
      <c r="F4" s="46"/>
      <c r="G4" s="46"/>
      <c r="H4" s="205" t="s">
        <v>120</v>
      </c>
      <c r="I4" s="206"/>
      <c r="J4" s="206"/>
      <c r="K4" s="206"/>
      <c r="L4" s="206"/>
      <c r="M4" s="123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8"/>
      <c r="AR4" s="48"/>
      <c r="AS4" s="48"/>
      <c r="AT4" s="48"/>
      <c r="AU4" s="48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</row>
    <row r="5" spans="1:256" ht="14.25">
      <c r="A5" s="85">
        <f t="shared" si="5"/>
        <v>5</v>
      </c>
      <c r="B5" s="86" t="str">
        <f t="shared" si="4"/>
        <v xml:space="preserve">   4000 Individual Contributions</v>
      </c>
      <c r="C5" s="46"/>
      <c r="D5" s="46"/>
      <c r="E5" s="46"/>
      <c r="F5" s="46"/>
      <c r="G5" s="46"/>
      <c r="H5" s="205" t="s">
        <v>46</v>
      </c>
      <c r="I5" s="206"/>
      <c r="J5" s="206"/>
      <c r="K5" s="207">
        <f>53615.63</f>
        <v>53615.63</v>
      </c>
      <c r="L5" s="207">
        <f t="shared" ref="L5:L10" si="6">((I5)+(J5))+(K5)</f>
        <v>53615.63</v>
      </c>
      <c r="M5" s="124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8"/>
      <c r="AR5" s="48"/>
      <c r="AS5" s="48"/>
      <c r="AT5" s="48"/>
      <c r="AU5" s="48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</row>
    <row r="6" spans="1:256" ht="14.25">
      <c r="A6" s="85">
        <f t="shared" si="5"/>
        <v>6</v>
      </c>
      <c r="B6" s="86" t="str">
        <f t="shared" si="4"/>
        <v xml:space="preserve">   4100 Corporate Contributions</v>
      </c>
      <c r="C6" s="46"/>
      <c r="D6" s="46"/>
      <c r="E6" s="46"/>
      <c r="F6" s="46"/>
      <c r="G6" s="46"/>
      <c r="H6" s="205" t="s">
        <v>48</v>
      </c>
      <c r="I6" s="206"/>
      <c r="J6" s="206"/>
      <c r="K6" s="207">
        <f>132845.53</f>
        <v>132845.53</v>
      </c>
      <c r="L6" s="207">
        <f t="shared" si="6"/>
        <v>132845.53</v>
      </c>
      <c r="M6" s="124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8"/>
      <c r="AR6" s="48"/>
      <c r="AS6" s="48"/>
      <c r="AT6" s="48"/>
      <c r="AU6" s="48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</row>
    <row r="7" spans="1:256" ht="14.25">
      <c r="A7" s="85">
        <f t="shared" si="5"/>
        <v>7</v>
      </c>
      <c r="B7" s="86" t="str">
        <f t="shared" si="4"/>
        <v xml:space="preserve">   4200 Foundation Contributions</v>
      </c>
      <c r="C7" s="46"/>
      <c r="D7" s="46"/>
      <c r="E7" s="46"/>
      <c r="F7" s="46"/>
      <c r="G7" s="46"/>
      <c r="H7" s="205" t="s">
        <v>49</v>
      </c>
      <c r="I7" s="206"/>
      <c r="J7" s="206"/>
      <c r="K7" s="207">
        <f>4250</f>
        <v>4250</v>
      </c>
      <c r="L7" s="207">
        <f t="shared" si="6"/>
        <v>4250</v>
      </c>
      <c r="M7" s="124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8"/>
      <c r="AR7" s="48"/>
      <c r="AS7" s="48"/>
      <c r="AT7" s="48"/>
      <c r="AU7" s="48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</row>
    <row r="8" spans="1:256" ht="14.25">
      <c r="A8" s="85">
        <f t="shared" si="5"/>
        <v>8</v>
      </c>
      <c r="B8" s="86" t="str">
        <f t="shared" si="4"/>
        <v xml:space="preserve">   4400 Earned Income</v>
      </c>
      <c r="C8" s="46"/>
      <c r="D8" s="46"/>
      <c r="E8" s="46"/>
      <c r="F8" s="46"/>
      <c r="G8" s="46"/>
      <c r="H8" s="205" t="s">
        <v>52</v>
      </c>
      <c r="I8" s="207">
        <f>18053</f>
        <v>18053</v>
      </c>
      <c r="J8" s="206"/>
      <c r="K8" s="206"/>
      <c r="L8" s="207">
        <f t="shared" si="6"/>
        <v>18053</v>
      </c>
      <c r="M8" s="12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8"/>
      <c r="AR8" s="48"/>
      <c r="AS8" s="48"/>
      <c r="AT8" s="48"/>
      <c r="AU8" s="4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</row>
    <row r="9" spans="1:256" ht="14.25">
      <c r="A9" s="85">
        <f t="shared" si="5"/>
        <v>9</v>
      </c>
      <c r="B9" s="86" t="str">
        <f t="shared" si="4"/>
        <v>Total Revenue</v>
      </c>
      <c r="C9" s="46"/>
      <c r="D9" s="46"/>
      <c r="E9" s="46"/>
      <c r="F9" s="46"/>
      <c r="G9" s="46"/>
      <c r="H9" s="205" t="s">
        <v>55</v>
      </c>
      <c r="I9" s="208">
        <f>(((I5)+(I6))+(I7))+(I8)</f>
        <v>18053</v>
      </c>
      <c r="J9" s="208">
        <f>(((J5)+(J6))+(J7))+(J8)</f>
        <v>0</v>
      </c>
      <c r="K9" s="208">
        <f>(((K5)+(K6))+(K7))+(K8)</f>
        <v>190711.16</v>
      </c>
      <c r="L9" s="208">
        <f t="shared" si="6"/>
        <v>208764.16</v>
      </c>
      <c r="M9" s="125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8"/>
      <c r="AR9" s="48"/>
      <c r="AS9" s="48"/>
      <c r="AT9" s="48"/>
      <c r="AU9" s="48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</row>
    <row r="10" spans="1:256" ht="14.25">
      <c r="A10" s="85">
        <f t="shared" si="5"/>
        <v>10</v>
      </c>
      <c r="B10" s="86" t="str">
        <f t="shared" si="4"/>
        <v>Gross Profit</v>
      </c>
      <c r="C10" s="46"/>
      <c r="D10" s="46"/>
      <c r="E10" s="46"/>
      <c r="F10" s="46"/>
      <c r="G10" s="46"/>
      <c r="H10" s="205" t="s">
        <v>214</v>
      </c>
      <c r="I10" s="208">
        <f>(I9)-(0)</f>
        <v>18053</v>
      </c>
      <c r="J10" s="208">
        <f>(J9)-(0)</f>
        <v>0</v>
      </c>
      <c r="K10" s="208">
        <f>(K9)-(0)</f>
        <v>190711.16</v>
      </c>
      <c r="L10" s="208">
        <f t="shared" si="6"/>
        <v>208764.16</v>
      </c>
      <c r="M10" s="123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8"/>
      <c r="AR10" s="48"/>
      <c r="AS10" s="48"/>
      <c r="AT10" s="48"/>
      <c r="AU10" s="48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</row>
    <row r="11" spans="1:256" ht="14.25">
      <c r="A11" s="85">
        <f t="shared" si="5"/>
        <v>11</v>
      </c>
      <c r="B11" s="86" t="str">
        <f t="shared" si="4"/>
        <v>Expenditures</v>
      </c>
      <c r="C11" s="46"/>
      <c r="D11" s="46"/>
      <c r="E11" s="46"/>
      <c r="F11" s="46"/>
      <c r="G11" s="46"/>
      <c r="H11" s="205" t="s">
        <v>121</v>
      </c>
      <c r="I11" s="206"/>
      <c r="J11" s="206"/>
      <c r="K11" s="206"/>
      <c r="L11" s="206"/>
      <c r="M11" s="124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8"/>
      <c r="AR11" s="48"/>
      <c r="AS11" s="48"/>
      <c r="AT11" s="48"/>
      <c r="AU11" s="48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</row>
    <row r="12" spans="1:256" ht="14.25">
      <c r="A12" s="85">
        <f t="shared" si="5"/>
        <v>12</v>
      </c>
      <c r="B12" s="86" t="str">
        <f t="shared" si="4"/>
        <v xml:space="preserve">   5000 Payroll Expenses</v>
      </c>
      <c r="C12" s="46"/>
      <c r="D12" s="46"/>
      <c r="E12" s="46"/>
      <c r="F12" s="46"/>
      <c r="G12" s="46"/>
      <c r="H12" s="205" t="s">
        <v>193</v>
      </c>
      <c r="I12" s="206"/>
      <c r="J12" s="206"/>
      <c r="K12" s="206"/>
      <c r="L12" s="207">
        <f t="shared" ref="L12:L47" si="7">((I12)+(J12))+(K12)</f>
        <v>0</v>
      </c>
      <c r="M12" s="124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8"/>
      <c r="AR12" s="48"/>
      <c r="AS12" s="48"/>
      <c r="AT12" s="48"/>
      <c r="AU12" s="48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</row>
    <row r="13" spans="1:256" ht="14.25">
      <c r="A13" s="85">
        <f t="shared" si="5"/>
        <v>13</v>
      </c>
      <c r="B13" s="86" t="str">
        <f t="shared" si="4"/>
        <v xml:space="preserve">      5010 Salary &amp; Wages</v>
      </c>
      <c r="C13" s="46"/>
      <c r="D13" s="46"/>
      <c r="E13" s="46"/>
      <c r="F13" s="46"/>
      <c r="G13" s="46"/>
      <c r="H13" s="205" t="s">
        <v>215</v>
      </c>
      <c r="I13" s="207">
        <f>54000</f>
        <v>54000</v>
      </c>
      <c r="J13" s="207">
        <f>1200</f>
        <v>1200</v>
      </c>
      <c r="K13" s="207">
        <f>4800</f>
        <v>4800</v>
      </c>
      <c r="L13" s="207">
        <f t="shared" si="7"/>
        <v>60000</v>
      </c>
      <c r="M13" s="124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8"/>
      <c r="AR13" s="48"/>
      <c r="AS13" s="48"/>
      <c r="AT13" s="48"/>
      <c r="AU13" s="48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256" ht="14.25">
      <c r="A14" s="85">
        <f t="shared" si="5"/>
        <v>14</v>
      </c>
      <c r="B14" s="86" t="str">
        <f t="shared" si="4"/>
        <v xml:space="preserve">      5100 Payroll Taxes</v>
      </c>
      <c r="C14" s="46"/>
      <c r="D14" s="46"/>
      <c r="E14" s="46"/>
      <c r="F14" s="46"/>
      <c r="G14" s="46"/>
      <c r="H14" s="205" t="s">
        <v>216</v>
      </c>
      <c r="I14" s="206"/>
      <c r="J14" s="206"/>
      <c r="K14" s="206"/>
      <c r="L14" s="207">
        <f t="shared" si="7"/>
        <v>0</v>
      </c>
      <c r="M14" s="124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8"/>
      <c r="AR14" s="48"/>
      <c r="AS14" s="48"/>
      <c r="AT14" s="48"/>
      <c r="AU14" s="48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</row>
    <row r="15" spans="1:256" ht="14.25">
      <c r="A15" s="85">
        <f t="shared" si="5"/>
        <v>15</v>
      </c>
      <c r="B15" s="86" t="str">
        <f t="shared" si="4"/>
        <v xml:space="preserve">         5110 FICA</v>
      </c>
      <c r="C15" s="46"/>
      <c r="D15" s="46"/>
      <c r="E15" s="46"/>
      <c r="F15" s="46"/>
      <c r="G15" s="46"/>
      <c r="H15" s="205" t="s">
        <v>217</v>
      </c>
      <c r="I15" s="207">
        <f>4240.88</f>
        <v>4240.88</v>
      </c>
      <c r="J15" s="207">
        <f>94.26</f>
        <v>94.26</v>
      </c>
      <c r="K15" s="207">
        <f>376.96</f>
        <v>376.96</v>
      </c>
      <c r="L15" s="207">
        <f t="shared" si="7"/>
        <v>4712.1000000000004</v>
      </c>
      <c r="M15" s="124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8"/>
      <c r="AR15" s="48"/>
      <c r="AS15" s="48"/>
      <c r="AT15" s="48"/>
      <c r="AU15" s="48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</row>
    <row r="16" spans="1:256" ht="14.25">
      <c r="A16" s="85">
        <f t="shared" si="5"/>
        <v>16</v>
      </c>
      <c r="B16" s="86" t="str">
        <f t="shared" si="4"/>
        <v xml:space="preserve">         5130 Disability</v>
      </c>
      <c r="C16" s="46"/>
      <c r="D16" s="46"/>
      <c r="E16" s="46"/>
      <c r="F16" s="46"/>
      <c r="G16" s="46"/>
      <c r="H16" s="205" t="s">
        <v>310</v>
      </c>
      <c r="I16" s="206"/>
      <c r="J16" s="206"/>
      <c r="K16" s="207">
        <f>-78.2</f>
        <v>-78.2</v>
      </c>
      <c r="L16" s="207">
        <f t="shared" si="7"/>
        <v>-78.2</v>
      </c>
      <c r="M16" s="125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8"/>
      <c r="AR16" s="48"/>
      <c r="AS16" s="48"/>
      <c r="AT16" s="48"/>
      <c r="AU16" s="48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</row>
    <row r="17" spans="1:94" ht="14.25">
      <c r="A17" s="85">
        <f t="shared" si="5"/>
        <v>17</v>
      </c>
      <c r="B17" s="86" t="str">
        <f t="shared" si="4"/>
        <v xml:space="preserve">      Total 5100 Payroll Taxes</v>
      </c>
      <c r="C17" s="46"/>
      <c r="D17" s="46"/>
      <c r="E17" s="46"/>
      <c r="F17" s="46"/>
      <c r="G17" s="46"/>
      <c r="H17" s="205" t="s">
        <v>218</v>
      </c>
      <c r="I17" s="208">
        <f>((I14)+(I15))+(I16)</f>
        <v>4240.88</v>
      </c>
      <c r="J17" s="208">
        <f>((J14)+(J15))+(J16)</f>
        <v>94.26</v>
      </c>
      <c r="K17" s="208">
        <f>((K14)+(K15))+(K16)</f>
        <v>298.76</v>
      </c>
      <c r="L17" s="208">
        <f t="shared" si="7"/>
        <v>4633.9000000000005</v>
      </c>
      <c r="M17" s="124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8"/>
      <c r="AR17" s="48"/>
      <c r="AS17" s="48"/>
      <c r="AT17" s="48"/>
      <c r="AU17" s="48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</row>
    <row r="18" spans="1:94" ht="14.25">
      <c r="A18" s="85">
        <f t="shared" si="5"/>
        <v>18</v>
      </c>
      <c r="B18" s="86" t="str">
        <f t="shared" si="4"/>
        <v xml:space="preserve">      5200 Employee Benefits</v>
      </c>
      <c r="C18" s="46"/>
      <c r="D18" s="46"/>
      <c r="E18" s="46"/>
      <c r="F18" s="46"/>
      <c r="G18" s="46"/>
      <c r="H18" s="205" t="s">
        <v>228</v>
      </c>
      <c r="I18" s="207">
        <f>18000</f>
        <v>18000</v>
      </c>
      <c r="J18" s="207">
        <f>400</f>
        <v>400</v>
      </c>
      <c r="K18" s="207">
        <f>1600</f>
        <v>1600</v>
      </c>
      <c r="L18" s="207">
        <f t="shared" si="7"/>
        <v>20000</v>
      </c>
      <c r="M18" s="125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8"/>
      <c r="AR18" s="48"/>
      <c r="AS18" s="48"/>
      <c r="AT18" s="48"/>
      <c r="AU18" s="4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</row>
    <row r="19" spans="1:94" ht="14.25">
      <c r="A19" s="85">
        <f t="shared" si="5"/>
        <v>19</v>
      </c>
      <c r="B19" s="86" t="str">
        <f t="shared" si="4"/>
        <v xml:space="preserve">   Total 5000 Payroll Expenses</v>
      </c>
      <c r="C19" s="46"/>
      <c r="D19" s="46"/>
      <c r="E19" s="46"/>
      <c r="F19" s="46"/>
      <c r="G19" s="46"/>
      <c r="H19" s="205" t="s">
        <v>194</v>
      </c>
      <c r="I19" s="208">
        <f>(((I12)+(I13))+(I17))+(I18)</f>
        <v>76240.88</v>
      </c>
      <c r="J19" s="208">
        <f>(((J12)+(J13))+(J17))+(J18)</f>
        <v>1694.26</v>
      </c>
      <c r="K19" s="208">
        <f>(((K12)+(K13))+(K17))+(K18)</f>
        <v>6698.76</v>
      </c>
      <c r="L19" s="208">
        <f t="shared" si="7"/>
        <v>84633.9</v>
      </c>
      <c r="M19" s="124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8"/>
      <c r="AR19" s="48"/>
      <c r="AS19" s="48"/>
      <c r="AT19" s="48"/>
      <c r="AU19" s="48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</row>
    <row r="20" spans="1:94" ht="14.25">
      <c r="A20" s="85">
        <f t="shared" si="5"/>
        <v>20</v>
      </c>
      <c r="B20" s="86" t="str">
        <f t="shared" si="4"/>
        <v xml:space="preserve">   6100 Occupancy</v>
      </c>
      <c r="C20" s="46"/>
      <c r="D20" s="46"/>
      <c r="E20" s="46"/>
      <c r="F20" s="46"/>
      <c r="G20" s="46"/>
      <c r="H20" s="205" t="s">
        <v>122</v>
      </c>
      <c r="I20" s="206"/>
      <c r="J20" s="206"/>
      <c r="K20" s="206"/>
      <c r="L20" s="207">
        <f t="shared" si="7"/>
        <v>0</v>
      </c>
      <c r="M20" s="124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8"/>
      <c r="AR20" s="48"/>
      <c r="AS20" s="48"/>
      <c r="AT20" s="48"/>
      <c r="AU20" s="48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</row>
    <row r="21" spans="1:94" ht="14.25">
      <c r="A21" s="85">
        <f t="shared" si="5"/>
        <v>21</v>
      </c>
      <c r="B21" s="86" t="str">
        <f t="shared" si="4"/>
        <v xml:space="preserve">      6110 Rent</v>
      </c>
      <c r="C21" s="46"/>
      <c r="D21" s="46"/>
      <c r="E21" s="46"/>
      <c r="F21" s="46"/>
      <c r="G21" s="46"/>
      <c r="H21" s="205" t="s">
        <v>123</v>
      </c>
      <c r="I21" s="207">
        <f>13905</f>
        <v>13905</v>
      </c>
      <c r="J21" s="207">
        <f>309</f>
        <v>309</v>
      </c>
      <c r="K21" s="207">
        <f>1236</f>
        <v>1236</v>
      </c>
      <c r="L21" s="207">
        <f t="shared" si="7"/>
        <v>15450</v>
      </c>
      <c r="M21" s="124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  <c r="AR21" s="48"/>
      <c r="AS21" s="48"/>
      <c r="AT21" s="48"/>
      <c r="AU21" s="48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</row>
    <row r="22" spans="1:94" ht="14.25">
      <c r="A22" s="85">
        <f t="shared" si="5"/>
        <v>22</v>
      </c>
      <c r="B22" s="86" t="str">
        <f t="shared" si="4"/>
        <v xml:space="preserve">      6130 Telephone, Telecommunications</v>
      </c>
      <c r="C22" s="46"/>
      <c r="D22" s="46"/>
      <c r="E22" s="46"/>
      <c r="F22" s="46"/>
      <c r="G22" s="46"/>
      <c r="H22" s="205" t="s">
        <v>124</v>
      </c>
      <c r="I22" s="207">
        <f>79.5</f>
        <v>79.5</v>
      </c>
      <c r="J22" s="206"/>
      <c r="K22" s="207">
        <f>828.48</f>
        <v>828.48</v>
      </c>
      <c r="L22" s="207">
        <f t="shared" si="7"/>
        <v>907.98</v>
      </c>
      <c r="M22" s="125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8"/>
      <c r="AR22" s="48"/>
      <c r="AS22" s="48"/>
      <c r="AT22" s="48"/>
      <c r="AU22" s="48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</row>
    <row r="23" spans="1:94" ht="14.25">
      <c r="A23" s="85">
        <f t="shared" si="5"/>
        <v>23</v>
      </c>
      <c r="B23" s="86" t="str">
        <f t="shared" si="4"/>
        <v xml:space="preserve">   Total 6100 Occupancy</v>
      </c>
      <c r="C23" s="46"/>
      <c r="D23" s="46"/>
      <c r="E23" s="46"/>
      <c r="F23" s="46"/>
      <c r="G23" s="46"/>
      <c r="H23" s="205" t="s">
        <v>89</v>
      </c>
      <c r="I23" s="208">
        <f>((I20)+(I21))+(I22)</f>
        <v>13984.5</v>
      </c>
      <c r="J23" s="208">
        <f>((J20)+(J21))+(J22)</f>
        <v>309</v>
      </c>
      <c r="K23" s="208">
        <f>((K20)+(K21))+(K22)</f>
        <v>2064.48</v>
      </c>
      <c r="L23" s="208">
        <f t="shared" si="7"/>
        <v>16357.98</v>
      </c>
      <c r="M23" s="124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48"/>
      <c r="AS23" s="48"/>
      <c r="AT23" s="48"/>
      <c r="AU23" s="48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</row>
    <row r="24" spans="1:94" ht="14.25">
      <c r="A24" s="85">
        <f t="shared" si="5"/>
        <v>24</v>
      </c>
      <c r="B24" s="86" t="str">
        <f t="shared" si="4"/>
        <v xml:space="preserve">   6200 Business Insurance</v>
      </c>
      <c r="C24" s="46"/>
      <c r="D24" s="46"/>
      <c r="E24" s="46"/>
      <c r="F24" s="46"/>
      <c r="G24" s="46"/>
      <c r="H24" s="205" t="s">
        <v>125</v>
      </c>
      <c r="I24" s="206"/>
      <c r="J24" s="206"/>
      <c r="K24" s="206"/>
      <c r="L24" s="207">
        <f t="shared" si="7"/>
        <v>0</v>
      </c>
      <c r="M24" s="124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  <c r="AR24" s="48"/>
      <c r="AS24" s="48"/>
      <c r="AT24" s="48"/>
      <c r="AU24" s="48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</row>
    <row r="25" spans="1:94" ht="14.25">
      <c r="A25" s="85">
        <f t="shared" si="5"/>
        <v>25</v>
      </c>
      <c r="B25" s="86" t="str">
        <f t="shared" si="4"/>
        <v xml:space="preserve">      6220 D&amp;O</v>
      </c>
      <c r="C25" s="46"/>
      <c r="D25" s="46"/>
      <c r="E25" s="46"/>
      <c r="F25" s="46"/>
      <c r="G25" s="46"/>
      <c r="H25" s="205" t="s">
        <v>126</v>
      </c>
      <c r="I25" s="206"/>
      <c r="J25" s="206"/>
      <c r="K25" s="207">
        <f>878</f>
        <v>878</v>
      </c>
      <c r="L25" s="207">
        <f t="shared" si="7"/>
        <v>878</v>
      </c>
      <c r="M25" s="125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8"/>
      <c r="AR25" s="48"/>
      <c r="AS25" s="48"/>
      <c r="AT25" s="48"/>
      <c r="AU25" s="48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</row>
    <row r="26" spans="1:94" ht="14.25">
      <c r="A26" s="85">
        <f t="shared" si="5"/>
        <v>26</v>
      </c>
      <c r="B26" s="86" t="str">
        <f t="shared" si="4"/>
        <v xml:space="preserve">   Total 6200 Business Insurance</v>
      </c>
      <c r="C26" s="46"/>
      <c r="D26" s="46"/>
      <c r="E26" s="46"/>
      <c r="F26" s="46"/>
      <c r="G26" s="46"/>
      <c r="H26" s="205" t="s">
        <v>91</v>
      </c>
      <c r="I26" s="208">
        <f>(I24)+(I25)</f>
        <v>0</v>
      </c>
      <c r="J26" s="208">
        <f>(J24)+(J25)</f>
        <v>0</v>
      </c>
      <c r="K26" s="208">
        <f>(K24)+(K25)</f>
        <v>878</v>
      </c>
      <c r="L26" s="208">
        <f t="shared" si="7"/>
        <v>878</v>
      </c>
      <c r="M26" s="124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  <c r="AR26" s="48"/>
      <c r="AS26" s="48"/>
      <c r="AT26" s="48"/>
      <c r="AU26" s="48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</row>
    <row r="27" spans="1:94" ht="14.25">
      <c r="A27" s="85">
        <f t="shared" si="5"/>
        <v>27</v>
      </c>
      <c r="B27" s="86" t="str">
        <f t="shared" si="4"/>
        <v xml:space="preserve">   6300 Consulting</v>
      </c>
      <c r="C27" s="46"/>
      <c r="D27" s="46"/>
      <c r="E27" s="46"/>
      <c r="F27" s="46"/>
      <c r="G27" s="46"/>
      <c r="H27" s="205" t="s">
        <v>127</v>
      </c>
      <c r="I27" s="206"/>
      <c r="J27" s="206"/>
      <c r="K27" s="206"/>
      <c r="L27" s="207">
        <f t="shared" si="7"/>
        <v>0</v>
      </c>
      <c r="M27" s="124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  <c r="AR27" s="48"/>
      <c r="AS27" s="48"/>
      <c r="AT27" s="48"/>
      <c r="AU27" s="48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</row>
    <row r="28" spans="1:94" ht="14.25">
      <c r="A28" s="85">
        <f t="shared" si="5"/>
        <v>28</v>
      </c>
      <c r="B28" s="86" t="str">
        <f t="shared" si="4"/>
        <v xml:space="preserve">      6310 Auditor Fees</v>
      </c>
      <c r="C28" s="46"/>
      <c r="D28" s="46"/>
      <c r="E28" s="46"/>
      <c r="F28" s="46"/>
      <c r="G28" s="46"/>
      <c r="H28" s="205" t="s">
        <v>255</v>
      </c>
      <c r="I28" s="206"/>
      <c r="J28" s="206"/>
      <c r="K28" s="207">
        <f>950</f>
        <v>950</v>
      </c>
      <c r="L28" s="207">
        <f t="shared" si="7"/>
        <v>950</v>
      </c>
      <c r="M28" s="124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AR28" s="48"/>
      <c r="AS28" s="48"/>
      <c r="AT28" s="48"/>
      <c r="AU28" s="4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</row>
    <row r="29" spans="1:94" ht="14.25">
      <c r="A29" s="85">
        <f t="shared" si="5"/>
        <v>29</v>
      </c>
      <c r="B29" s="86" t="str">
        <f t="shared" si="4"/>
        <v xml:space="preserve">      6320 Legal Fees</v>
      </c>
      <c r="C29" s="46"/>
      <c r="D29" s="46"/>
      <c r="E29" s="46"/>
      <c r="F29" s="46"/>
      <c r="G29" s="46"/>
      <c r="H29" s="205" t="s">
        <v>260</v>
      </c>
      <c r="I29" s="207">
        <f>730.11</f>
        <v>730.11</v>
      </c>
      <c r="J29" s="206"/>
      <c r="K29" s="206"/>
      <c r="L29" s="207">
        <f t="shared" si="7"/>
        <v>730.11</v>
      </c>
      <c r="M29" s="124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8"/>
      <c r="AR29" s="48"/>
      <c r="AS29" s="48"/>
      <c r="AT29" s="48"/>
      <c r="AU29" s="48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</row>
    <row r="30" spans="1:94" ht="14.25">
      <c r="A30" s="85">
        <f t="shared" si="5"/>
        <v>30</v>
      </c>
      <c r="B30" s="86" t="str">
        <f t="shared" si="4"/>
        <v xml:space="preserve">      6330 Accounting Fees</v>
      </c>
      <c r="C30" s="46"/>
      <c r="D30" s="46"/>
      <c r="E30" s="46"/>
      <c r="F30" s="46"/>
      <c r="G30" s="46"/>
      <c r="H30" s="205" t="s">
        <v>195</v>
      </c>
      <c r="I30" s="206"/>
      <c r="J30" s="206"/>
      <c r="K30" s="207">
        <f>3342.5</f>
        <v>3342.5</v>
      </c>
      <c r="L30" s="207">
        <f t="shared" si="7"/>
        <v>3342.5</v>
      </c>
      <c r="M30" s="125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8"/>
      <c r="AR30" s="48"/>
      <c r="AS30" s="48"/>
      <c r="AT30" s="48"/>
      <c r="AU30" s="48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</row>
    <row r="31" spans="1:94" ht="14.25">
      <c r="A31" s="85">
        <f t="shared" si="5"/>
        <v>31</v>
      </c>
      <c r="B31" s="86" t="str">
        <f t="shared" si="4"/>
        <v xml:space="preserve">   Total 6300 Consulting</v>
      </c>
      <c r="C31" s="46"/>
      <c r="D31" s="46"/>
      <c r="E31" s="46"/>
      <c r="F31" s="46"/>
      <c r="G31" s="46"/>
      <c r="H31" s="205" t="s">
        <v>93</v>
      </c>
      <c r="I31" s="208">
        <f>(((I27)+(I28))+(I29))+(I30)</f>
        <v>730.11</v>
      </c>
      <c r="J31" s="208">
        <f>(((J27)+(J28))+(J29))+(J30)</f>
        <v>0</v>
      </c>
      <c r="K31" s="208">
        <f>(((K27)+(K28))+(K29))+(K30)</f>
        <v>4292.5</v>
      </c>
      <c r="L31" s="208">
        <f t="shared" si="7"/>
        <v>5022.6099999999997</v>
      </c>
      <c r="M31" s="124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8"/>
      <c r="AR31" s="48"/>
      <c r="AS31" s="48"/>
      <c r="AT31" s="48"/>
      <c r="AU31" s="48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</row>
    <row r="32" spans="1:94" ht="14.25">
      <c r="A32" s="85">
        <f t="shared" si="5"/>
        <v>32</v>
      </c>
      <c r="B32" s="86" t="str">
        <f t="shared" si="4"/>
        <v xml:space="preserve">   6400 Office Expenses</v>
      </c>
      <c r="C32" s="46"/>
      <c r="D32" s="46"/>
      <c r="E32" s="46"/>
      <c r="F32" s="46"/>
      <c r="G32" s="46"/>
      <c r="H32" s="205" t="s">
        <v>128</v>
      </c>
      <c r="I32" s="206"/>
      <c r="J32" s="206"/>
      <c r="K32" s="206"/>
      <c r="L32" s="207">
        <f t="shared" si="7"/>
        <v>0</v>
      </c>
      <c r="M32" s="124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8"/>
      <c r="AR32" s="48"/>
      <c r="AS32" s="48"/>
      <c r="AT32" s="48"/>
      <c r="AU32" s="48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</row>
    <row r="33" spans="1:94" ht="14.25">
      <c r="A33" s="85">
        <f t="shared" si="5"/>
        <v>33</v>
      </c>
      <c r="B33" s="86" t="str">
        <f t="shared" si="4"/>
        <v xml:space="preserve">      6410 Office Supplies</v>
      </c>
      <c r="C33" s="46"/>
      <c r="D33" s="46"/>
      <c r="E33" s="46"/>
      <c r="F33" s="46"/>
      <c r="G33" s="46"/>
      <c r="H33" s="205" t="s">
        <v>129</v>
      </c>
      <c r="I33" s="207">
        <f>1171.92</f>
        <v>1171.92</v>
      </c>
      <c r="J33" s="206"/>
      <c r="K33" s="207">
        <f>107.79</f>
        <v>107.79</v>
      </c>
      <c r="L33" s="207">
        <f t="shared" si="7"/>
        <v>1279.71</v>
      </c>
      <c r="M33" s="124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  <c r="AR33" s="48"/>
      <c r="AS33" s="48"/>
      <c r="AT33" s="48"/>
      <c r="AU33" s="48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</row>
    <row r="34" spans="1:94" ht="14.25">
      <c r="A34" s="85">
        <f t="shared" si="5"/>
        <v>34</v>
      </c>
      <c r="B34" s="86" t="str">
        <f t="shared" si="4"/>
        <v xml:space="preserve">      6420 Postage &amp; Mailing</v>
      </c>
      <c r="C34" s="46"/>
      <c r="D34" s="46"/>
      <c r="E34" s="46"/>
      <c r="F34" s="46"/>
      <c r="G34" s="46"/>
      <c r="H34" s="205" t="s">
        <v>196</v>
      </c>
      <c r="I34" s="206"/>
      <c r="J34" s="206"/>
      <c r="K34" s="207">
        <f>4.66</f>
        <v>4.66</v>
      </c>
      <c r="L34" s="207">
        <f t="shared" si="7"/>
        <v>4.66</v>
      </c>
      <c r="M34" s="124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8"/>
      <c r="AR34" s="48"/>
      <c r="AS34" s="48"/>
      <c r="AT34" s="48"/>
      <c r="AU34" s="48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</row>
    <row r="35" spans="1:94" ht="14.25">
      <c r="A35" s="85">
        <f t="shared" si="5"/>
        <v>35</v>
      </c>
      <c r="B35" s="86" t="str">
        <f t="shared" ref="B35:B66" si="8">C35&amp;D35&amp;E35&amp;F35&amp;G35&amp;H35</f>
        <v xml:space="preserve">      6430 Printing &amp; Copying</v>
      </c>
      <c r="C35" s="46"/>
      <c r="D35" s="46"/>
      <c r="E35" s="46"/>
      <c r="F35" s="46"/>
      <c r="G35" s="46"/>
      <c r="H35" s="205" t="s">
        <v>278</v>
      </c>
      <c r="I35" s="207">
        <f>16.74</f>
        <v>16.739999999999998</v>
      </c>
      <c r="J35" s="206"/>
      <c r="K35" s="206"/>
      <c r="L35" s="207">
        <f t="shared" si="7"/>
        <v>16.739999999999998</v>
      </c>
      <c r="M35" s="124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  <c r="AR35" s="48"/>
      <c r="AS35" s="48"/>
      <c r="AT35" s="48"/>
      <c r="AU35" s="48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</row>
    <row r="36" spans="1:94" ht="14.25">
      <c r="A36" s="85">
        <f t="shared" si="5"/>
        <v>36</v>
      </c>
      <c r="B36" s="86" t="str">
        <f t="shared" si="8"/>
        <v xml:space="preserve">      6440 Dues &amp; Subscriptions</v>
      </c>
      <c r="C36" s="46"/>
      <c r="D36" s="46"/>
      <c r="E36" s="46"/>
      <c r="F36" s="46"/>
      <c r="G36" s="46"/>
      <c r="H36" s="205" t="s">
        <v>130</v>
      </c>
      <c r="I36" s="207">
        <f>150</f>
        <v>150</v>
      </c>
      <c r="J36" s="206"/>
      <c r="K36" s="207">
        <f>99</f>
        <v>99</v>
      </c>
      <c r="L36" s="207">
        <f t="shared" si="7"/>
        <v>249</v>
      </c>
      <c r="M36" s="124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  <c r="AR36" s="48"/>
      <c r="AS36" s="48"/>
      <c r="AT36" s="48"/>
      <c r="AU36" s="48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</row>
    <row r="37" spans="1:94" ht="14.25">
      <c r="A37" s="85">
        <f t="shared" si="5"/>
        <v>37</v>
      </c>
      <c r="B37" s="86" t="str">
        <f t="shared" si="8"/>
        <v xml:space="preserve">      6450 Payroll Service Fees</v>
      </c>
      <c r="C37" s="46"/>
      <c r="D37" s="46"/>
      <c r="E37" s="46"/>
      <c r="F37" s="46"/>
      <c r="G37" s="46"/>
      <c r="H37" s="205" t="s">
        <v>229</v>
      </c>
      <c r="I37" s="206"/>
      <c r="J37" s="206"/>
      <c r="K37" s="207">
        <f>507.13</f>
        <v>507.13</v>
      </c>
      <c r="L37" s="207">
        <f t="shared" si="7"/>
        <v>507.13</v>
      </c>
      <c r="M37" s="125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8"/>
      <c r="AR37" s="48"/>
      <c r="AS37" s="48"/>
      <c r="AT37" s="48"/>
      <c r="AU37" s="48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</row>
    <row r="38" spans="1:94" ht="14.25">
      <c r="A38" s="85">
        <f t="shared" si="5"/>
        <v>38</v>
      </c>
      <c r="B38" s="86" t="str">
        <f t="shared" si="8"/>
        <v xml:space="preserve">      6460 Bank Fees</v>
      </c>
      <c r="C38" s="46"/>
      <c r="D38" s="46"/>
      <c r="E38" s="46"/>
      <c r="F38" s="46"/>
      <c r="G38" s="46"/>
      <c r="H38" s="205" t="s">
        <v>131</v>
      </c>
      <c r="I38" s="206"/>
      <c r="J38" s="206"/>
      <c r="K38" s="207">
        <f>1295.58</f>
        <v>1295.58</v>
      </c>
      <c r="L38" s="207">
        <f t="shared" si="7"/>
        <v>1295.58</v>
      </c>
      <c r="M38" s="124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  <c r="AR38" s="48"/>
      <c r="AS38" s="48"/>
      <c r="AT38" s="48"/>
      <c r="AU38" s="4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</row>
    <row r="39" spans="1:94" ht="14.25">
      <c r="A39" s="85">
        <f t="shared" si="5"/>
        <v>39</v>
      </c>
      <c r="B39" s="86" t="str">
        <f t="shared" si="8"/>
        <v xml:space="preserve">      6470 Filing Fees</v>
      </c>
      <c r="C39" s="46"/>
      <c r="D39" s="46"/>
      <c r="E39" s="46"/>
      <c r="F39" s="46"/>
      <c r="G39" s="46"/>
      <c r="H39" s="205" t="s">
        <v>311</v>
      </c>
      <c r="I39" s="206"/>
      <c r="J39" s="206"/>
      <c r="K39" s="207">
        <f>75</f>
        <v>75</v>
      </c>
      <c r="L39" s="207">
        <f t="shared" si="7"/>
        <v>75</v>
      </c>
      <c r="M39" s="124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  <c r="AR39" s="48"/>
      <c r="AS39" s="48"/>
      <c r="AT39" s="48"/>
      <c r="AU39" s="48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</row>
    <row r="40" spans="1:94" ht="14.25">
      <c r="A40" s="85">
        <f t="shared" si="5"/>
        <v>40</v>
      </c>
      <c r="B40" s="86" t="str">
        <f t="shared" si="8"/>
        <v xml:space="preserve">   Total 6400 Office Expenses</v>
      </c>
      <c r="C40" s="46"/>
      <c r="D40" s="46"/>
      <c r="E40" s="46"/>
      <c r="F40" s="46"/>
      <c r="G40" s="46"/>
      <c r="H40" s="205" t="s">
        <v>95</v>
      </c>
      <c r="I40" s="208">
        <f>(((((((I32)+(I33))+(I34))+(I35))+(I36))+(I37))+(I38))+(I39)</f>
        <v>1338.66</v>
      </c>
      <c r="J40" s="208">
        <f>(((((((J32)+(J33))+(J34))+(J35))+(J36))+(J37))+(J38))+(J39)</f>
        <v>0</v>
      </c>
      <c r="K40" s="208">
        <f>(((((((K32)+(K33))+(K34))+(K35))+(K36))+(K37))+(K38))+(K39)</f>
        <v>2089.16</v>
      </c>
      <c r="L40" s="208">
        <f t="shared" si="7"/>
        <v>3427.8199999999997</v>
      </c>
      <c r="M40" s="124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  <c r="AR40" s="48"/>
      <c r="AS40" s="48"/>
      <c r="AT40" s="48"/>
      <c r="AU40" s="48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</row>
    <row r="41" spans="1:94" ht="14.25">
      <c r="A41" s="85">
        <f t="shared" si="5"/>
        <v>41</v>
      </c>
      <c r="B41" s="86" t="str">
        <f t="shared" si="8"/>
        <v xml:space="preserve">   7100 Conferences</v>
      </c>
      <c r="C41" s="46"/>
      <c r="D41" s="46"/>
      <c r="E41" s="46"/>
      <c r="F41" s="46"/>
      <c r="G41" s="46"/>
      <c r="H41" s="205" t="s">
        <v>96</v>
      </c>
      <c r="I41" s="207">
        <f>725</f>
        <v>725</v>
      </c>
      <c r="J41" s="206"/>
      <c r="K41" s="206"/>
      <c r="L41" s="207">
        <f t="shared" si="7"/>
        <v>725</v>
      </c>
      <c r="M41" s="124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8"/>
      <c r="AR41" s="48"/>
      <c r="AS41" s="48"/>
      <c r="AT41" s="48"/>
      <c r="AU41" s="48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</row>
    <row r="42" spans="1:94" ht="14.25">
      <c r="A42" s="85">
        <f t="shared" si="5"/>
        <v>42</v>
      </c>
      <c r="B42" s="86" t="str">
        <f t="shared" si="8"/>
        <v xml:space="preserve">   7300 Travel</v>
      </c>
      <c r="C42" s="46"/>
      <c r="D42" s="46"/>
      <c r="E42" s="46"/>
      <c r="F42" s="46"/>
      <c r="G42" s="46"/>
      <c r="H42" s="205" t="s">
        <v>98</v>
      </c>
      <c r="I42" s="207">
        <f>2458.66</f>
        <v>2458.66</v>
      </c>
      <c r="J42" s="206"/>
      <c r="K42" s="206"/>
      <c r="L42" s="207">
        <f t="shared" si="7"/>
        <v>2458.66</v>
      </c>
      <c r="M42" s="124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8"/>
      <c r="AR42" s="48"/>
      <c r="AS42" s="48"/>
      <c r="AT42" s="48"/>
      <c r="AU42" s="48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</row>
    <row r="43" spans="1:94" ht="14.25">
      <c r="A43" s="85">
        <f t="shared" si="5"/>
        <v>43</v>
      </c>
      <c r="B43" s="86" t="str">
        <f t="shared" si="8"/>
        <v xml:space="preserve">   7400 Advertising &amp; Promotions</v>
      </c>
      <c r="C43" s="46"/>
      <c r="D43" s="46"/>
      <c r="E43" s="46"/>
      <c r="F43" s="46"/>
      <c r="G43" s="46"/>
      <c r="H43" s="205" t="s">
        <v>100</v>
      </c>
      <c r="I43" s="207">
        <f>957.22</f>
        <v>957.22</v>
      </c>
      <c r="J43" s="207">
        <f>399.08</f>
        <v>399.08</v>
      </c>
      <c r="K43" s="206"/>
      <c r="L43" s="207">
        <f t="shared" si="7"/>
        <v>1356.3</v>
      </c>
      <c r="M43" s="124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8"/>
      <c r="AR43" s="48"/>
      <c r="AS43" s="48"/>
      <c r="AT43" s="48"/>
      <c r="AU43" s="48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</row>
    <row r="44" spans="1:94" ht="14.25">
      <c r="A44" s="85">
        <f t="shared" si="5"/>
        <v>44</v>
      </c>
      <c r="B44" s="86" t="str">
        <f t="shared" si="8"/>
        <v xml:space="preserve">   7500 Website &amp; IT Support</v>
      </c>
      <c r="C44" s="46"/>
      <c r="D44" s="46"/>
      <c r="E44" s="46"/>
      <c r="F44" s="46"/>
      <c r="G44" s="46"/>
      <c r="H44" s="205" t="s">
        <v>101</v>
      </c>
      <c r="I44" s="207">
        <f>24578.51</f>
        <v>24578.51</v>
      </c>
      <c r="J44" s="206"/>
      <c r="K44" s="207">
        <f>111.99</f>
        <v>111.99</v>
      </c>
      <c r="L44" s="207">
        <f t="shared" si="7"/>
        <v>24690.5</v>
      </c>
      <c r="M44" s="125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8"/>
      <c r="AR44" s="48"/>
      <c r="AS44" s="48"/>
      <c r="AT44" s="48"/>
      <c r="AU44" s="48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</row>
    <row r="45" spans="1:94" ht="14.25">
      <c r="A45" s="85">
        <f t="shared" si="5"/>
        <v>45</v>
      </c>
      <c r="B45" s="86" t="str">
        <f t="shared" si="8"/>
        <v xml:space="preserve">   7800 Meals &amp; Entertainment</v>
      </c>
      <c r="C45" s="46"/>
      <c r="D45" s="46"/>
      <c r="E45" s="46"/>
      <c r="F45" s="46"/>
      <c r="G45" s="46"/>
      <c r="H45" s="205" t="s">
        <v>223</v>
      </c>
      <c r="I45" s="207">
        <f>84.54</f>
        <v>84.54</v>
      </c>
      <c r="J45" s="206"/>
      <c r="K45" s="206"/>
      <c r="L45" s="207">
        <f t="shared" si="7"/>
        <v>84.54</v>
      </c>
      <c r="M45" s="125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/>
      <c r="AR45" s="48"/>
      <c r="AS45" s="48"/>
      <c r="AT45" s="48"/>
      <c r="AU45" s="48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</row>
    <row r="46" spans="1:94" ht="14.25">
      <c r="A46" s="85">
        <f t="shared" si="5"/>
        <v>46</v>
      </c>
      <c r="B46" s="86" t="str">
        <f t="shared" si="8"/>
        <v>Total Expenditures</v>
      </c>
      <c r="C46" s="46"/>
      <c r="D46" s="46"/>
      <c r="E46" s="46"/>
      <c r="F46" s="46"/>
      <c r="G46" s="46"/>
      <c r="H46" s="205" t="s">
        <v>57</v>
      </c>
      <c r="I46" s="208">
        <f>(((((((((I19)+(I23))+(I26))+(I31))+(I40))+(I41))+(I42))+(I43))+(I44))+(I45)</f>
        <v>121098.08</v>
      </c>
      <c r="J46" s="208">
        <f>(((((((((J19)+(J23))+(J26))+(J31))+(J40))+(J41))+(J42))+(J43))+(J44))+(J45)</f>
        <v>2402.34</v>
      </c>
      <c r="K46" s="208">
        <f>(((((((((K19)+(K23))+(K26))+(K31))+(K40))+(K41))+(K42))+(K43))+(K44))+(K45)</f>
        <v>16134.89</v>
      </c>
      <c r="L46" s="208">
        <f t="shared" si="7"/>
        <v>139635.31</v>
      </c>
      <c r="M46" s="123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8"/>
      <c r="AR46" s="48"/>
      <c r="AS46" s="48"/>
      <c r="AT46" s="48"/>
      <c r="AU46" s="48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</row>
    <row r="47" spans="1:94" ht="14.25">
      <c r="A47" s="85">
        <f t="shared" si="5"/>
        <v>47</v>
      </c>
      <c r="B47" s="86" t="str">
        <f t="shared" si="8"/>
        <v>Net Operating Revenue</v>
      </c>
      <c r="C47" s="46"/>
      <c r="D47" s="46"/>
      <c r="E47" s="46"/>
      <c r="F47" s="46"/>
      <c r="G47" s="46"/>
      <c r="H47" s="205" t="s">
        <v>132</v>
      </c>
      <c r="I47" s="208">
        <f>(I10)-(I46)</f>
        <v>-103045.08</v>
      </c>
      <c r="J47" s="208">
        <f>(J10)-(J46)</f>
        <v>-2402.34</v>
      </c>
      <c r="K47" s="208">
        <f>(K10)-(K46)</f>
        <v>174576.27000000002</v>
      </c>
      <c r="L47" s="208">
        <f t="shared" si="7"/>
        <v>69128.85000000002</v>
      </c>
      <c r="M47" s="124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  <c r="AR47" s="48"/>
      <c r="AS47" s="48"/>
      <c r="AT47" s="48"/>
      <c r="AU47" s="48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</row>
    <row r="48" spans="1:94" ht="14.25">
      <c r="A48" s="85">
        <f t="shared" si="5"/>
        <v>48</v>
      </c>
      <c r="B48" s="86" t="str">
        <f t="shared" si="8"/>
        <v>Other Expenditures</v>
      </c>
      <c r="C48" s="46"/>
      <c r="D48" s="46"/>
      <c r="E48" s="46"/>
      <c r="F48" s="46"/>
      <c r="G48" s="46"/>
      <c r="H48" s="205" t="s">
        <v>350</v>
      </c>
      <c r="I48" s="206"/>
      <c r="J48" s="206"/>
      <c r="K48" s="206"/>
      <c r="L48" s="206"/>
      <c r="M48" s="125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  <c r="AR48" s="48"/>
      <c r="AS48" s="48"/>
      <c r="AT48" s="48"/>
      <c r="AU48" s="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</row>
    <row r="49" spans="1:94" ht="14.25">
      <c r="A49" s="85">
        <f t="shared" si="5"/>
        <v>49</v>
      </c>
      <c r="B49" s="86" t="str">
        <f t="shared" si="8"/>
        <v xml:space="preserve">   8000 Depreciation Expenses</v>
      </c>
      <c r="C49" s="46"/>
      <c r="D49" s="46"/>
      <c r="E49" s="46"/>
      <c r="F49" s="46"/>
      <c r="G49" s="46"/>
      <c r="H49" s="205" t="s">
        <v>219</v>
      </c>
      <c r="I49" s="207">
        <f>7587.88</f>
        <v>7587.88</v>
      </c>
      <c r="J49" s="206"/>
      <c r="K49" s="206"/>
      <c r="L49" s="207">
        <f>((I49)+(J49))+(K49)</f>
        <v>7587.88</v>
      </c>
      <c r="M49" s="125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8"/>
      <c r="AR49" s="48"/>
      <c r="AS49" s="48"/>
      <c r="AT49" s="48"/>
      <c r="AU49" s="48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</row>
    <row r="50" spans="1:94" ht="14.25">
      <c r="A50" s="85">
        <f t="shared" si="5"/>
        <v>50</v>
      </c>
      <c r="B50" s="86" t="str">
        <f t="shared" si="8"/>
        <v>Total Other Expenditures</v>
      </c>
      <c r="C50" s="46"/>
      <c r="D50" s="46"/>
      <c r="E50" s="46"/>
      <c r="F50" s="46"/>
      <c r="G50" s="46"/>
      <c r="H50" s="205" t="s">
        <v>351</v>
      </c>
      <c r="I50" s="208">
        <f>I49</f>
        <v>7587.88</v>
      </c>
      <c r="J50" s="208">
        <f>J49</f>
        <v>0</v>
      </c>
      <c r="K50" s="208">
        <f>K49</f>
        <v>0</v>
      </c>
      <c r="L50" s="208">
        <f>((I50)+(J50))+(K50)</f>
        <v>7587.88</v>
      </c>
      <c r="M50" s="125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  <c r="AR50" s="48"/>
      <c r="AS50" s="48"/>
      <c r="AT50" s="48"/>
      <c r="AU50" s="48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</row>
    <row r="51" spans="1:94" ht="14.25">
      <c r="A51" s="85">
        <f t="shared" si="5"/>
        <v>51</v>
      </c>
      <c r="B51" s="86" t="str">
        <f t="shared" si="8"/>
        <v>Net Other Revenue</v>
      </c>
      <c r="C51" s="46"/>
      <c r="D51" s="46"/>
      <c r="E51" s="46"/>
      <c r="F51" s="46"/>
      <c r="G51" s="46"/>
      <c r="H51" s="205" t="s">
        <v>352</v>
      </c>
      <c r="I51" s="208">
        <f>(0)-(I50)</f>
        <v>-7587.88</v>
      </c>
      <c r="J51" s="208">
        <f>(0)-(J50)</f>
        <v>0</v>
      </c>
      <c r="K51" s="208">
        <f>(0)-(K50)</f>
        <v>0</v>
      </c>
      <c r="L51" s="208">
        <f>((I51)+(J51))+(K51)</f>
        <v>-7587.88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  <c r="AR51" s="48"/>
      <c r="AS51" s="48"/>
      <c r="AT51" s="48"/>
      <c r="AU51" s="48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</row>
    <row r="52" spans="1:94" ht="14.25">
      <c r="A52" s="85">
        <f t="shared" si="5"/>
        <v>52</v>
      </c>
      <c r="B52" s="86" t="str">
        <f t="shared" si="8"/>
        <v>Net Revenue</v>
      </c>
      <c r="C52" s="46"/>
      <c r="D52" s="46"/>
      <c r="E52" s="46"/>
      <c r="F52" s="46"/>
      <c r="G52" s="46"/>
      <c r="H52" s="205" t="s">
        <v>66</v>
      </c>
      <c r="I52" s="208">
        <f>(I47)+(I51)</f>
        <v>-110632.96000000001</v>
      </c>
      <c r="J52" s="208">
        <f>(J47)+(J51)</f>
        <v>-2402.34</v>
      </c>
      <c r="K52" s="208">
        <f>(K47)+(K51)</f>
        <v>174576.27000000002</v>
      </c>
      <c r="L52" s="208">
        <f>((I52)+(J52))+(K52)</f>
        <v>61540.970000000016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  <c r="AR52" s="48"/>
      <c r="AS52" s="48"/>
      <c r="AT52" s="48"/>
      <c r="AU52" s="48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</row>
    <row r="53" spans="1:94" ht="14.25">
      <c r="A53" s="85">
        <f t="shared" si="5"/>
        <v>53</v>
      </c>
      <c r="B53" s="86" t="str">
        <f t="shared" si="8"/>
        <v/>
      </c>
      <c r="C53" s="46"/>
      <c r="D53" s="46"/>
      <c r="E53" s="46"/>
      <c r="F53" s="46"/>
      <c r="G53" s="46"/>
      <c r="H53" s="46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/>
      <c r="AR53" s="48"/>
      <c r="AS53" s="48"/>
      <c r="AT53" s="48"/>
      <c r="AU53" s="48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</row>
    <row r="54" spans="1:94" ht="14.25">
      <c r="A54" s="85">
        <f t="shared" si="5"/>
        <v>54</v>
      </c>
      <c r="B54" s="86" t="str">
        <f t="shared" si="8"/>
        <v/>
      </c>
      <c r="C54" s="46"/>
      <c r="D54" s="46"/>
      <c r="E54" s="46"/>
      <c r="F54" s="46"/>
      <c r="G54" s="46"/>
      <c r="H54" s="4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8"/>
      <c r="AR54" s="48"/>
      <c r="AS54" s="48"/>
      <c r="AT54" s="48"/>
      <c r="AU54" s="48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</row>
    <row r="55" spans="1:94" ht="14.25">
      <c r="A55" s="85">
        <f t="shared" si="5"/>
        <v>55</v>
      </c>
      <c r="B55" s="86" t="str">
        <f t="shared" si="8"/>
        <v/>
      </c>
      <c r="C55" s="46"/>
      <c r="D55" s="46"/>
      <c r="E55" s="46"/>
      <c r="F55" s="46"/>
      <c r="G55" s="46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8"/>
      <c r="AR55" s="48"/>
      <c r="AS55" s="48"/>
      <c r="AT55" s="48"/>
      <c r="AU55" s="48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spans="1:94" ht="14.25">
      <c r="A56" s="85">
        <f t="shared" si="5"/>
        <v>56</v>
      </c>
      <c r="B56" s="86" t="str">
        <f t="shared" si="8"/>
        <v/>
      </c>
      <c r="C56" s="46"/>
      <c r="D56" s="46"/>
      <c r="E56" s="46"/>
      <c r="F56" s="46"/>
      <c r="G56" s="46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8"/>
      <c r="AR56" s="48"/>
      <c r="AS56" s="48"/>
      <c r="AT56" s="48"/>
      <c r="AU56" s="48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</row>
    <row r="57" spans="1:94" ht="14.25">
      <c r="A57" s="85">
        <f t="shared" si="5"/>
        <v>57</v>
      </c>
      <c r="B57" s="86" t="str">
        <f t="shared" si="8"/>
        <v/>
      </c>
      <c r="C57" s="46"/>
      <c r="D57" s="46"/>
      <c r="E57" s="46"/>
      <c r="F57" s="46"/>
      <c r="G57" s="46"/>
      <c r="H57" s="46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8"/>
      <c r="AR57" s="48"/>
      <c r="AS57" s="48"/>
      <c r="AT57" s="48"/>
      <c r="AU57" s="48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</row>
    <row r="58" spans="1:94" ht="14.25">
      <c r="A58" s="85">
        <f t="shared" si="5"/>
        <v>58</v>
      </c>
      <c r="B58" s="86" t="str">
        <f t="shared" si="8"/>
        <v/>
      </c>
      <c r="C58" s="46"/>
      <c r="D58" s="46"/>
      <c r="E58" s="46"/>
      <c r="F58" s="46"/>
      <c r="G58" s="46"/>
      <c r="H58" s="46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8"/>
      <c r="AR58" s="48"/>
      <c r="AS58" s="48"/>
      <c r="AT58" s="48"/>
      <c r="AU58" s="4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</row>
    <row r="59" spans="1:94" ht="14.25">
      <c r="A59" s="85">
        <f t="shared" si="5"/>
        <v>59</v>
      </c>
      <c r="B59" s="86" t="str">
        <f t="shared" si="8"/>
        <v/>
      </c>
      <c r="C59" s="46"/>
      <c r="D59" s="46"/>
      <c r="E59" s="46"/>
      <c r="F59" s="46"/>
      <c r="G59" s="46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8"/>
      <c r="AR59" s="48"/>
      <c r="AS59" s="48"/>
      <c r="AT59" s="48"/>
      <c r="AU59" s="48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</row>
    <row r="60" spans="1:94" ht="14.25">
      <c r="A60" s="85">
        <f t="shared" si="5"/>
        <v>60</v>
      </c>
      <c r="B60" s="86" t="str">
        <f t="shared" si="8"/>
        <v/>
      </c>
      <c r="C60" s="46"/>
      <c r="D60" s="46"/>
      <c r="E60" s="46"/>
      <c r="F60" s="46"/>
      <c r="G60" s="46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8"/>
      <c r="AR60" s="48"/>
      <c r="AS60" s="48"/>
      <c r="AT60" s="48"/>
      <c r="AU60" s="48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</row>
    <row r="61" spans="1:94" ht="14.25">
      <c r="A61" s="85">
        <f t="shared" si="5"/>
        <v>61</v>
      </c>
      <c r="B61" s="86" t="str">
        <f t="shared" si="8"/>
        <v/>
      </c>
      <c r="C61" s="46"/>
      <c r="D61" s="46"/>
      <c r="E61" s="46"/>
      <c r="F61" s="46"/>
      <c r="G61" s="46"/>
      <c r="H61" s="4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8"/>
      <c r="AR61" s="48"/>
      <c r="AS61" s="48"/>
      <c r="AT61" s="48"/>
      <c r="AU61" s="48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</row>
    <row r="62" spans="1:94" ht="14.25">
      <c r="A62" s="85">
        <f t="shared" si="5"/>
        <v>62</v>
      </c>
      <c r="B62" s="86" t="str">
        <f t="shared" si="8"/>
        <v/>
      </c>
      <c r="C62" s="46"/>
      <c r="D62" s="46"/>
      <c r="E62" s="46"/>
      <c r="F62" s="46"/>
      <c r="G62" s="46"/>
      <c r="H62" s="46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8"/>
      <c r="AR62" s="48"/>
      <c r="AS62" s="48"/>
      <c r="AT62" s="48"/>
      <c r="AU62" s="48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</row>
    <row r="63" spans="1:94" ht="14.25">
      <c r="A63" s="85">
        <f t="shared" si="5"/>
        <v>63</v>
      </c>
      <c r="B63" s="86" t="str">
        <f t="shared" si="8"/>
        <v/>
      </c>
      <c r="C63" s="46"/>
      <c r="D63" s="46"/>
      <c r="E63" s="46"/>
      <c r="F63" s="46"/>
      <c r="G63" s="46"/>
      <c r="H63" s="46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8"/>
      <c r="AR63" s="48"/>
      <c r="AS63" s="48"/>
      <c r="AT63" s="48"/>
      <c r="AU63" s="48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</row>
    <row r="64" spans="1:94" ht="14.25">
      <c r="A64" s="85">
        <f t="shared" si="5"/>
        <v>64</v>
      </c>
      <c r="B64" s="86" t="str">
        <f t="shared" si="8"/>
        <v/>
      </c>
      <c r="C64" s="46"/>
      <c r="D64" s="46"/>
      <c r="E64" s="46"/>
      <c r="F64" s="46"/>
      <c r="G64" s="46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8"/>
      <c r="AR64" s="48"/>
      <c r="AS64" s="48"/>
      <c r="AT64" s="48"/>
      <c r="AU64" s="48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</row>
    <row r="65" spans="1:94" ht="14.25">
      <c r="A65" s="85">
        <f t="shared" si="5"/>
        <v>65</v>
      </c>
      <c r="B65" s="86" t="str">
        <f t="shared" si="8"/>
        <v/>
      </c>
      <c r="C65" s="46"/>
      <c r="D65" s="46"/>
      <c r="E65" s="46"/>
      <c r="F65" s="46"/>
      <c r="G65" s="46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8"/>
      <c r="AR65" s="48"/>
      <c r="AS65" s="48"/>
      <c r="AT65" s="48"/>
      <c r="AU65" s="48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</row>
    <row r="66" spans="1:94" ht="14.25">
      <c r="A66" s="85">
        <f t="shared" si="5"/>
        <v>66</v>
      </c>
      <c r="B66" s="86" t="str">
        <f t="shared" si="8"/>
        <v/>
      </c>
      <c r="C66" s="46"/>
      <c r="D66" s="46"/>
      <c r="E66" s="46"/>
      <c r="F66" s="46"/>
      <c r="G66" s="46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8"/>
      <c r="AR66" s="48"/>
      <c r="AS66" s="48"/>
      <c r="AT66" s="48"/>
      <c r="AU66" s="48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</row>
    <row r="67" spans="1:94" ht="14.25">
      <c r="A67" s="85">
        <f t="shared" si="5"/>
        <v>67</v>
      </c>
      <c r="B67" s="86" t="str">
        <f t="shared" ref="B67:B98" si="9">C67&amp;D67&amp;E67&amp;F67&amp;G67&amp;H67</f>
        <v/>
      </c>
      <c r="C67" s="46"/>
      <c r="D67" s="46"/>
      <c r="E67" s="46"/>
      <c r="F67" s="46"/>
      <c r="G67" s="46"/>
      <c r="H67" s="46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8"/>
      <c r="AR67" s="48"/>
      <c r="AS67" s="48"/>
      <c r="AT67" s="48"/>
      <c r="AU67" s="48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</row>
    <row r="68" spans="1:94" ht="14.25">
      <c r="A68" s="85">
        <f t="shared" ref="A68:A131" si="10">A67+1</f>
        <v>68</v>
      </c>
      <c r="B68" s="86" t="str">
        <f t="shared" si="9"/>
        <v/>
      </c>
      <c r="C68" s="46"/>
      <c r="D68" s="46"/>
      <c r="E68" s="46"/>
      <c r="F68" s="46"/>
      <c r="G68" s="46"/>
      <c r="H68" s="46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8"/>
      <c r="AR68" s="48"/>
      <c r="AS68" s="48"/>
      <c r="AT68" s="48"/>
      <c r="AU68" s="4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</row>
    <row r="69" spans="1:94" ht="14.25">
      <c r="A69" s="85">
        <f t="shared" si="10"/>
        <v>69</v>
      </c>
      <c r="B69" s="86" t="str">
        <f t="shared" si="9"/>
        <v/>
      </c>
      <c r="C69" s="46"/>
      <c r="D69" s="46"/>
      <c r="E69" s="46"/>
      <c r="F69" s="46"/>
      <c r="G69" s="46"/>
      <c r="H69" s="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8"/>
      <c r="AR69" s="48"/>
      <c r="AS69" s="48"/>
      <c r="AT69" s="48"/>
      <c r="AU69" s="48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</row>
    <row r="70" spans="1:94" ht="14.25">
      <c r="A70" s="85">
        <f t="shared" si="10"/>
        <v>70</v>
      </c>
      <c r="B70" s="86" t="str">
        <f t="shared" si="9"/>
        <v/>
      </c>
      <c r="C70" s="46"/>
      <c r="D70" s="46"/>
      <c r="E70" s="46"/>
      <c r="F70" s="46"/>
      <c r="G70" s="46"/>
      <c r="H70" s="46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  <c r="AR70" s="48"/>
      <c r="AS70" s="48"/>
      <c r="AT70" s="48"/>
      <c r="AU70" s="48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</row>
    <row r="71" spans="1:94" ht="14.25">
      <c r="A71" s="85">
        <f t="shared" si="10"/>
        <v>71</v>
      </c>
      <c r="B71" s="86" t="str">
        <f t="shared" si="9"/>
        <v/>
      </c>
      <c r="C71" s="46"/>
      <c r="D71" s="46"/>
      <c r="E71" s="46"/>
      <c r="F71" s="46"/>
      <c r="G71" s="46"/>
      <c r="H71" s="4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  <c r="AR71" s="48"/>
      <c r="AS71" s="48"/>
      <c r="AT71" s="48"/>
      <c r="AU71" s="48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</row>
    <row r="72" spans="1:94" ht="14.25">
      <c r="A72" s="85">
        <f t="shared" si="10"/>
        <v>72</v>
      </c>
      <c r="B72" s="86" t="str">
        <f t="shared" si="9"/>
        <v/>
      </c>
      <c r="C72" s="46"/>
      <c r="D72" s="46"/>
      <c r="E72" s="46"/>
      <c r="F72" s="46"/>
      <c r="G72" s="46"/>
      <c r="H72" s="46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8"/>
      <c r="AR72" s="48"/>
      <c r="AS72" s="48"/>
      <c r="AT72" s="48"/>
      <c r="AU72" s="48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</row>
    <row r="73" spans="1:94" ht="14.25">
      <c r="A73" s="85">
        <f t="shared" si="10"/>
        <v>73</v>
      </c>
      <c r="B73" s="86" t="str">
        <f t="shared" si="9"/>
        <v/>
      </c>
      <c r="C73" s="46"/>
      <c r="D73" s="46"/>
      <c r="E73" s="46"/>
      <c r="F73" s="46"/>
      <c r="G73" s="46"/>
      <c r="H73" s="46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8"/>
      <c r="AR73" s="48"/>
      <c r="AS73" s="48"/>
      <c r="AT73" s="48"/>
      <c r="AU73" s="48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</row>
    <row r="74" spans="1:94" ht="14.25">
      <c r="A74" s="85">
        <f t="shared" si="10"/>
        <v>74</v>
      </c>
      <c r="B74" s="86" t="str">
        <f t="shared" si="9"/>
        <v/>
      </c>
      <c r="C74" s="46"/>
      <c r="D74" s="46"/>
      <c r="E74" s="46"/>
      <c r="F74" s="46"/>
      <c r="G74" s="46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8"/>
      <c r="AR74" s="48"/>
      <c r="AS74" s="48"/>
      <c r="AT74" s="48"/>
      <c r="AU74" s="48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</row>
    <row r="75" spans="1:94" ht="14.25">
      <c r="A75" s="85">
        <f t="shared" si="10"/>
        <v>75</v>
      </c>
      <c r="B75" s="86" t="str">
        <f t="shared" si="9"/>
        <v/>
      </c>
      <c r="C75" s="46"/>
      <c r="D75" s="46"/>
      <c r="E75" s="46"/>
      <c r="F75" s="46"/>
      <c r="G75" s="46"/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8"/>
      <c r="AR75" s="48"/>
      <c r="AS75" s="48"/>
      <c r="AT75" s="48"/>
      <c r="AU75" s="48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</row>
    <row r="76" spans="1:94" ht="14.25">
      <c r="A76" s="85">
        <f t="shared" si="10"/>
        <v>76</v>
      </c>
      <c r="B76" s="86" t="str">
        <f t="shared" si="9"/>
        <v/>
      </c>
      <c r="C76" s="46"/>
      <c r="D76" s="46"/>
      <c r="E76" s="46"/>
      <c r="F76" s="46"/>
      <c r="G76" s="46"/>
      <c r="H76" s="4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8"/>
      <c r="AR76" s="48"/>
      <c r="AS76" s="48"/>
      <c r="AT76" s="48"/>
      <c r="AU76" s="48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</row>
    <row r="77" spans="1:94" ht="14.25">
      <c r="A77" s="85">
        <f t="shared" si="10"/>
        <v>77</v>
      </c>
      <c r="B77" s="86" t="str">
        <f t="shared" si="9"/>
        <v/>
      </c>
      <c r="C77" s="46"/>
      <c r="D77" s="46"/>
      <c r="E77" s="46"/>
      <c r="F77" s="46"/>
      <c r="G77" s="46"/>
      <c r="H77" s="46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8"/>
      <c r="AR77" s="48"/>
      <c r="AS77" s="48"/>
      <c r="AT77" s="48"/>
      <c r="AU77" s="48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</row>
    <row r="78" spans="1:94" ht="14.25">
      <c r="A78" s="85">
        <f t="shared" si="10"/>
        <v>78</v>
      </c>
      <c r="B78" s="86" t="str">
        <f t="shared" si="9"/>
        <v/>
      </c>
      <c r="C78" s="46"/>
      <c r="D78" s="46"/>
      <c r="E78" s="46"/>
      <c r="F78" s="46"/>
      <c r="G78" s="46"/>
      <c r="H78" s="46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8"/>
      <c r="AR78" s="48"/>
      <c r="AS78" s="48"/>
      <c r="AT78" s="48"/>
      <c r="AU78" s="4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</row>
    <row r="79" spans="1:94" ht="14.25">
      <c r="A79" s="85">
        <f t="shared" si="10"/>
        <v>79</v>
      </c>
      <c r="B79" s="86" t="str">
        <f t="shared" si="9"/>
        <v/>
      </c>
      <c r="C79" s="46"/>
      <c r="D79" s="46"/>
      <c r="E79" s="46"/>
      <c r="F79" s="46"/>
      <c r="G79" s="46"/>
      <c r="H79" s="46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  <c r="AR79" s="48"/>
      <c r="AS79" s="48"/>
      <c r="AT79" s="48"/>
      <c r="AU79" s="48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</row>
    <row r="80" spans="1:94" ht="14.25">
      <c r="A80" s="85">
        <f t="shared" si="10"/>
        <v>80</v>
      </c>
      <c r="B80" s="86" t="str">
        <f t="shared" si="9"/>
        <v/>
      </c>
      <c r="C80" s="46"/>
      <c r="D80" s="46"/>
      <c r="E80" s="46"/>
      <c r="F80" s="46"/>
      <c r="G80" s="46"/>
      <c r="H80" s="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8"/>
      <c r="AR80" s="48"/>
      <c r="AS80" s="48"/>
      <c r="AT80" s="48"/>
      <c r="AU80" s="48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</row>
    <row r="81" spans="1:94" ht="14.25">
      <c r="A81" s="85">
        <f t="shared" si="10"/>
        <v>81</v>
      </c>
      <c r="B81" s="86" t="str">
        <f t="shared" si="9"/>
        <v/>
      </c>
      <c r="C81" s="46"/>
      <c r="D81" s="46"/>
      <c r="E81" s="46"/>
      <c r="F81" s="46"/>
      <c r="G81" s="46"/>
      <c r="H81" s="4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  <c r="AR81" s="48"/>
      <c r="AS81" s="48"/>
      <c r="AT81" s="48"/>
      <c r="AU81" s="48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</row>
    <row r="82" spans="1:94" ht="14.25">
      <c r="A82" s="85">
        <f t="shared" si="10"/>
        <v>82</v>
      </c>
      <c r="B82" s="86" t="str">
        <f t="shared" si="9"/>
        <v/>
      </c>
      <c r="C82" s="46"/>
      <c r="D82" s="46"/>
      <c r="E82" s="46"/>
      <c r="F82" s="46"/>
      <c r="G82" s="46"/>
      <c r="H82" s="46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8"/>
      <c r="AR82" s="48"/>
      <c r="AS82" s="48"/>
      <c r="AT82" s="48"/>
      <c r="AU82" s="48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</row>
    <row r="83" spans="1:94" ht="14.25">
      <c r="A83" s="85">
        <f t="shared" si="10"/>
        <v>83</v>
      </c>
      <c r="B83" s="86" t="str">
        <f t="shared" si="9"/>
        <v/>
      </c>
      <c r="C83" s="46"/>
      <c r="D83" s="46"/>
      <c r="E83" s="46"/>
      <c r="F83" s="46"/>
      <c r="G83" s="46"/>
      <c r="H83" s="46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8"/>
      <c r="AR83" s="48"/>
      <c r="AS83" s="48"/>
      <c r="AT83" s="48"/>
      <c r="AU83" s="48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</row>
    <row r="84" spans="1:94" ht="14.25">
      <c r="A84" s="85">
        <f t="shared" si="10"/>
        <v>84</v>
      </c>
      <c r="B84" s="86" t="str">
        <f t="shared" si="9"/>
        <v/>
      </c>
      <c r="C84" s="46"/>
      <c r="D84" s="46"/>
      <c r="E84" s="46"/>
      <c r="F84" s="46"/>
      <c r="G84" s="46"/>
      <c r="H84" s="46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8"/>
      <c r="AR84" s="48"/>
      <c r="AS84" s="48"/>
      <c r="AT84" s="48"/>
      <c r="AU84" s="48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</row>
    <row r="85" spans="1:94" ht="14.25">
      <c r="A85" s="85">
        <f t="shared" si="10"/>
        <v>85</v>
      </c>
      <c r="B85" s="86" t="str">
        <f t="shared" si="9"/>
        <v/>
      </c>
      <c r="C85" s="46"/>
      <c r="D85" s="46"/>
      <c r="E85" s="46"/>
      <c r="F85" s="46"/>
      <c r="G85" s="46"/>
      <c r="H85" s="4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8"/>
      <c r="AR85" s="48"/>
      <c r="AS85" s="48"/>
      <c r="AT85" s="48"/>
      <c r="AU85" s="48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</row>
    <row r="86" spans="1:94" ht="14.25">
      <c r="A86" s="85">
        <f t="shared" si="10"/>
        <v>86</v>
      </c>
      <c r="B86" s="86" t="str">
        <f t="shared" si="9"/>
        <v/>
      </c>
      <c r="C86" s="46"/>
      <c r="D86" s="46"/>
      <c r="E86" s="46"/>
      <c r="F86" s="46"/>
      <c r="G86" s="46"/>
      <c r="H86" s="46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8"/>
      <c r="AR86" s="48"/>
      <c r="AS86" s="48"/>
      <c r="AT86" s="48"/>
      <c r="AU86" s="48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</row>
    <row r="87" spans="1:94" ht="14.25">
      <c r="A87" s="85">
        <f t="shared" si="10"/>
        <v>87</v>
      </c>
      <c r="B87" s="86" t="str">
        <f t="shared" si="9"/>
        <v/>
      </c>
      <c r="C87" s="46"/>
      <c r="D87" s="46"/>
      <c r="E87" s="46"/>
      <c r="F87" s="46"/>
      <c r="G87" s="46"/>
      <c r="H87" s="46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8"/>
      <c r="AR87" s="48"/>
      <c r="AS87" s="48"/>
      <c r="AT87" s="48"/>
      <c r="AU87" s="48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</row>
    <row r="88" spans="1:94" ht="14.25">
      <c r="A88" s="85">
        <f t="shared" si="10"/>
        <v>88</v>
      </c>
      <c r="B88" s="86" t="str">
        <f t="shared" si="9"/>
        <v/>
      </c>
      <c r="C88" s="46"/>
      <c r="D88" s="46"/>
      <c r="E88" s="46"/>
      <c r="F88" s="46"/>
      <c r="G88" s="46"/>
      <c r="H88" s="46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8"/>
      <c r="AR88" s="48"/>
      <c r="AS88" s="48"/>
      <c r="AT88" s="48"/>
      <c r="AU88" s="4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</row>
    <row r="89" spans="1:94" ht="14.25">
      <c r="A89" s="85">
        <f t="shared" si="10"/>
        <v>89</v>
      </c>
      <c r="B89" s="86" t="str">
        <f t="shared" si="9"/>
        <v/>
      </c>
      <c r="C89" s="46"/>
      <c r="D89" s="46"/>
      <c r="E89" s="46"/>
      <c r="F89" s="46"/>
      <c r="G89" s="46"/>
      <c r="H89" s="46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8"/>
      <c r="AR89" s="48"/>
      <c r="AS89" s="48"/>
      <c r="AT89" s="48"/>
      <c r="AU89" s="48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</row>
    <row r="90" spans="1:94" ht="14.25">
      <c r="A90" s="85">
        <f t="shared" si="10"/>
        <v>90</v>
      </c>
      <c r="B90" s="86" t="str">
        <f t="shared" si="9"/>
        <v/>
      </c>
      <c r="C90" s="46"/>
      <c r="D90" s="46"/>
      <c r="E90" s="46"/>
      <c r="F90" s="46"/>
      <c r="G90" s="46"/>
      <c r="H90" s="46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8"/>
      <c r="AR90" s="48"/>
      <c r="AS90" s="48"/>
      <c r="AT90" s="48"/>
      <c r="AU90" s="48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</row>
    <row r="91" spans="1:94" ht="14.25">
      <c r="A91" s="85">
        <f t="shared" si="10"/>
        <v>91</v>
      </c>
      <c r="B91" s="86" t="str">
        <f t="shared" si="9"/>
        <v/>
      </c>
      <c r="C91" s="46"/>
      <c r="D91" s="46"/>
      <c r="E91" s="46"/>
      <c r="F91" s="46"/>
      <c r="G91" s="46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8"/>
      <c r="AR91" s="48"/>
      <c r="AS91" s="48"/>
      <c r="AT91" s="48"/>
      <c r="AU91" s="48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</row>
    <row r="92" spans="1:94" ht="14.25">
      <c r="A92" s="85">
        <f t="shared" si="10"/>
        <v>92</v>
      </c>
      <c r="B92" s="86" t="str">
        <f t="shared" si="9"/>
        <v/>
      </c>
      <c r="C92" s="46"/>
      <c r="D92" s="46"/>
      <c r="E92" s="46"/>
      <c r="F92" s="46"/>
      <c r="G92" s="46"/>
      <c r="H92" s="46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8"/>
      <c r="AR92" s="48"/>
      <c r="AS92" s="48"/>
      <c r="AT92" s="48"/>
      <c r="AU92" s="48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</row>
    <row r="93" spans="1:94" ht="14.25">
      <c r="A93" s="85">
        <f t="shared" si="10"/>
        <v>93</v>
      </c>
      <c r="B93" s="86" t="str">
        <f t="shared" si="9"/>
        <v/>
      </c>
      <c r="C93" s="46"/>
      <c r="D93" s="46"/>
      <c r="E93" s="46"/>
      <c r="F93" s="46"/>
      <c r="G93" s="46"/>
      <c r="H93" s="46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  <c r="AR93" s="48"/>
      <c r="AS93" s="48"/>
      <c r="AT93" s="48"/>
      <c r="AU93" s="48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</row>
    <row r="94" spans="1:94" ht="14.25">
      <c r="A94" s="85">
        <f t="shared" si="10"/>
        <v>94</v>
      </c>
      <c r="B94" s="86" t="str">
        <f t="shared" si="9"/>
        <v/>
      </c>
      <c r="C94" s="46"/>
      <c r="D94" s="46"/>
      <c r="E94" s="46"/>
      <c r="F94" s="46"/>
      <c r="G94" s="46"/>
      <c r="H94" s="4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8"/>
      <c r="AR94" s="48"/>
      <c r="AS94" s="48"/>
      <c r="AT94" s="48"/>
      <c r="AU94" s="48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</row>
    <row r="95" spans="1:94" ht="14.25">
      <c r="A95" s="85">
        <f t="shared" si="10"/>
        <v>95</v>
      </c>
      <c r="B95" s="86" t="str">
        <f t="shared" si="9"/>
        <v/>
      </c>
      <c r="C95" s="46"/>
      <c r="D95" s="46"/>
      <c r="E95" s="46"/>
      <c r="F95" s="46"/>
      <c r="G95" s="46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8"/>
      <c r="AR95" s="48"/>
      <c r="AS95" s="48"/>
      <c r="AT95" s="48"/>
      <c r="AU95" s="48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</row>
    <row r="96" spans="1:94" ht="14.25">
      <c r="A96" s="85">
        <f t="shared" si="10"/>
        <v>96</v>
      </c>
      <c r="B96" s="86" t="str">
        <f t="shared" si="9"/>
        <v/>
      </c>
      <c r="C96" s="46"/>
      <c r="D96" s="46"/>
      <c r="E96" s="46"/>
      <c r="F96" s="46"/>
      <c r="G96" s="46"/>
      <c r="H96" s="46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8"/>
      <c r="AR96" s="48"/>
      <c r="AS96" s="48"/>
      <c r="AT96" s="48"/>
      <c r="AU96" s="48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</row>
    <row r="97" spans="1:94" ht="14.25">
      <c r="A97" s="85">
        <f t="shared" si="10"/>
        <v>97</v>
      </c>
      <c r="B97" s="86" t="str">
        <f t="shared" si="9"/>
        <v/>
      </c>
      <c r="C97" s="46"/>
      <c r="D97" s="46"/>
      <c r="E97" s="46"/>
      <c r="F97" s="46"/>
      <c r="G97" s="46"/>
      <c r="H97" s="46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  <c r="AR97" s="48"/>
      <c r="AS97" s="48"/>
      <c r="AT97" s="48"/>
      <c r="AU97" s="48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</row>
    <row r="98" spans="1:94" ht="14.25">
      <c r="A98" s="85">
        <f t="shared" si="10"/>
        <v>98</v>
      </c>
      <c r="B98" s="86" t="str">
        <f t="shared" si="9"/>
        <v/>
      </c>
      <c r="C98" s="46"/>
      <c r="D98" s="46"/>
      <c r="E98" s="46"/>
      <c r="F98" s="46"/>
      <c r="G98" s="46"/>
      <c r="H98" s="46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8"/>
      <c r="AR98" s="48"/>
      <c r="AS98" s="48"/>
      <c r="AT98" s="48"/>
      <c r="AU98" s="4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</row>
    <row r="99" spans="1:94" ht="14.25">
      <c r="A99" s="85">
        <f t="shared" si="10"/>
        <v>99</v>
      </c>
      <c r="B99" s="86" t="str">
        <f t="shared" ref="B99:B130" si="11">C99&amp;D99&amp;E99&amp;F99&amp;G99&amp;H99</f>
        <v/>
      </c>
      <c r="C99" s="46"/>
      <c r="D99" s="46"/>
      <c r="E99" s="46"/>
      <c r="F99" s="46"/>
      <c r="G99" s="46"/>
      <c r="H99" s="46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8"/>
      <c r="AR99" s="48"/>
      <c r="AS99" s="48"/>
      <c r="AT99" s="48"/>
      <c r="AU99" s="48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</row>
    <row r="100" spans="1:94" ht="14.25">
      <c r="A100" s="85">
        <f t="shared" si="10"/>
        <v>100</v>
      </c>
      <c r="B100" s="86" t="str">
        <f t="shared" si="11"/>
        <v/>
      </c>
      <c r="C100" s="46"/>
      <c r="D100" s="46"/>
      <c r="E100" s="46"/>
      <c r="F100" s="46"/>
      <c r="G100" s="46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8"/>
      <c r="AR100" s="48"/>
      <c r="AS100" s="48"/>
      <c r="AT100" s="48"/>
      <c r="AU100" s="48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</row>
    <row r="101" spans="1:94" ht="14.25">
      <c r="A101" s="85">
        <f t="shared" si="10"/>
        <v>101</v>
      </c>
      <c r="B101" s="86" t="str">
        <f t="shared" si="11"/>
        <v/>
      </c>
      <c r="C101" s="46"/>
      <c r="D101" s="46"/>
      <c r="E101" s="46"/>
      <c r="F101" s="46"/>
      <c r="G101" s="46"/>
      <c r="H101" s="4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8"/>
      <c r="AR101" s="48"/>
      <c r="AS101" s="48"/>
      <c r="AT101" s="48"/>
      <c r="AU101" s="48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</row>
    <row r="102" spans="1:94" ht="14.25">
      <c r="A102" s="85">
        <f t="shared" si="10"/>
        <v>102</v>
      </c>
      <c r="B102" s="86" t="str">
        <f t="shared" si="11"/>
        <v/>
      </c>
      <c r="C102" s="46"/>
      <c r="D102" s="46"/>
      <c r="E102" s="46"/>
      <c r="F102" s="46"/>
      <c r="G102" s="46"/>
      <c r="H102" s="46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8"/>
      <c r="AR102" s="48"/>
      <c r="AS102" s="48"/>
      <c r="AT102" s="48"/>
      <c r="AU102" s="48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</row>
    <row r="103" spans="1:94" ht="14.25">
      <c r="A103" s="85">
        <f t="shared" si="10"/>
        <v>103</v>
      </c>
      <c r="B103" s="86" t="str">
        <f t="shared" si="11"/>
        <v/>
      </c>
      <c r="C103" s="46"/>
      <c r="D103" s="46"/>
      <c r="E103" s="46"/>
      <c r="F103" s="46"/>
      <c r="G103" s="46"/>
      <c r="H103" s="46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8"/>
      <c r="AR103" s="48"/>
      <c r="AS103" s="48"/>
      <c r="AT103" s="48"/>
      <c r="AU103" s="48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</row>
    <row r="104" spans="1:94" ht="14.25">
      <c r="A104" s="85">
        <f t="shared" si="10"/>
        <v>104</v>
      </c>
      <c r="B104" s="86" t="str">
        <f t="shared" si="11"/>
        <v/>
      </c>
      <c r="C104" s="46"/>
      <c r="D104" s="46"/>
      <c r="E104" s="46"/>
      <c r="F104" s="46"/>
      <c r="G104" s="46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8"/>
      <c r="AR104" s="48"/>
      <c r="AS104" s="48"/>
      <c r="AT104" s="48"/>
      <c r="AU104" s="48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</row>
    <row r="105" spans="1:94" ht="14.25">
      <c r="A105" s="85">
        <f t="shared" si="10"/>
        <v>105</v>
      </c>
      <c r="B105" s="86" t="str">
        <f t="shared" si="11"/>
        <v/>
      </c>
      <c r="C105" s="46"/>
      <c r="D105" s="46"/>
      <c r="E105" s="46"/>
      <c r="F105" s="46"/>
      <c r="G105" s="46"/>
      <c r="H105" s="4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8"/>
      <c r="AR105" s="48"/>
      <c r="AS105" s="48"/>
      <c r="AT105" s="48"/>
      <c r="AU105" s="48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</row>
    <row r="106" spans="1:94" ht="14.25">
      <c r="A106" s="85">
        <f t="shared" si="10"/>
        <v>106</v>
      </c>
      <c r="B106" s="86" t="str">
        <f t="shared" si="11"/>
        <v/>
      </c>
      <c r="C106" s="46"/>
      <c r="D106" s="46"/>
      <c r="E106" s="46"/>
      <c r="F106" s="46"/>
      <c r="G106" s="46"/>
      <c r="H106" s="46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8"/>
      <c r="AR106" s="48"/>
      <c r="AS106" s="48"/>
      <c r="AT106" s="48"/>
      <c r="AU106" s="48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</row>
    <row r="107" spans="1:94" ht="14.25">
      <c r="A107" s="85">
        <f t="shared" si="10"/>
        <v>107</v>
      </c>
      <c r="B107" s="86" t="str">
        <f t="shared" si="11"/>
        <v/>
      </c>
      <c r="C107" s="46"/>
      <c r="D107" s="46"/>
      <c r="E107" s="46"/>
      <c r="F107" s="46"/>
      <c r="G107" s="46"/>
      <c r="H107" s="46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8"/>
      <c r="AR107" s="48"/>
      <c r="AS107" s="48"/>
      <c r="AT107" s="48"/>
      <c r="AU107" s="48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</row>
    <row r="108" spans="1:94" ht="14.25">
      <c r="A108" s="85">
        <f t="shared" si="10"/>
        <v>108</v>
      </c>
      <c r="B108" s="86" t="str">
        <f t="shared" si="11"/>
        <v/>
      </c>
      <c r="C108" s="46"/>
      <c r="D108" s="46"/>
      <c r="E108" s="46"/>
      <c r="F108" s="46"/>
      <c r="G108" s="46"/>
      <c r="H108" s="46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8"/>
      <c r="AR108" s="48"/>
      <c r="AS108" s="48"/>
      <c r="AT108" s="48"/>
      <c r="AU108" s="4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</row>
    <row r="109" spans="1:94" ht="14.25">
      <c r="A109" s="85">
        <f t="shared" si="10"/>
        <v>109</v>
      </c>
      <c r="B109" s="86" t="str">
        <f t="shared" si="11"/>
        <v/>
      </c>
      <c r="C109" s="46"/>
      <c r="D109" s="46"/>
      <c r="E109" s="46"/>
      <c r="F109" s="46"/>
      <c r="G109" s="46"/>
      <c r="H109" s="46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8"/>
      <c r="AR109" s="48"/>
      <c r="AS109" s="48"/>
      <c r="AT109" s="48"/>
      <c r="AU109" s="48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</row>
    <row r="110" spans="1:94" ht="14.25">
      <c r="A110" s="85">
        <f t="shared" si="10"/>
        <v>110</v>
      </c>
      <c r="B110" s="86" t="str">
        <f t="shared" si="11"/>
        <v/>
      </c>
      <c r="C110" s="46"/>
      <c r="D110" s="46"/>
      <c r="E110" s="46"/>
      <c r="F110" s="46"/>
      <c r="G110" s="46"/>
      <c r="H110" s="4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8"/>
      <c r="AR110" s="48"/>
      <c r="AS110" s="48"/>
      <c r="AT110" s="48"/>
      <c r="AU110" s="48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</row>
    <row r="111" spans="1:94" ht="14.25">
      <c r="A111" s="85">
        <f t="shared" si="10"/>
        <v>111</v>
      </c>
      <c r="B111" s="86" t="str">
        <f t="shared" si="11"/>
        <v/>
      </c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8"/>
      <c r="AR111" s="48"/>
      <c r="AS111" s="48"/>
      <c r="AT111" s="48"/>
      <c r="AU111" s="48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</row>
    <row r="112" spans="1:94" ht="14.25">
      <c r="A112" s="85">
        <f t="shared" si="10"/>
        <v>112</v>
      </c>
      <c r="B112" s="86" t="str">
        <f t="shared" si="11"/>
        <v/>
      </c>
      <c r="C112" s="46"/>
      <c r="D112" s="46"/>
      <c r="E112" s="46"/>
      <c r="F112" s="46"/>
      <c r="G112" s="46"/>
      <c r="H112" s="46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8"/>
      <c r="AR112" s="48"/>
      <c r="AS112" s="48"/>
      <c r="AT112" s="48"/>
      <c r="AU112" s="48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</row>
    <row r="113" spans="1:94" ht="14.25">
      <c r="A113" s="85">
        <f t="shared" si="10"/>
        <v>113</v>
      </c>
      <c r="B113" s="86" t="str">
        <f t="shared" si="11"/>
        <v/>
      </c>
      <c r="C113" s="46"/>
      <c r="D113" s="46"/>
      <c r="E113" s="46"/>
      <c r="F113" s="46"/>
      <c r="G113" s="46"/>
      <c r="H113" s="46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8"/>
      <c r="AR113" s="48"/>
      <c r="AS113" s="48"/>
      <c r="AT113" s="48"/>
      <c r="AU113" s="48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</row>
    <row r="114" spans="1:94" ht="14.25">
      <c r="A114" s="85">
        <f t="shared" si="10"/>
        <v>114</v>
      </c>
      <c r="B114" s="86" t="str">
        <f t="shared" si="11"/>
        <v/>
      </c>
      <c r="C114" s="46"/>
      <c r="D114" s="46"/>
      <c r="E114" s="46"/>
      <c r="F114" s="46"/>
      <c r="G114" s="46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8"/>
      <c r="AR114" s="48"/>
      <c r="AS114" s="48"/>
      <c r="AT114" s="48"/>
      <c r="AU114" s="48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</row>
    <row r="115" spans="1:94" ht="14.25">
      <c r="A115" s="85">
        <f t="shared" si="10"/>
        <v>115</v>
      </c>
      <c r="B115" s="86" t="str">
        <f t="shared" si="11"/>
        <v/>
      </c>
      <c r="C115" s="46"/>
      <c r="D115" s="46"/>
      <c r="E115" s="46"/>
      <c r="F115" s="46"/>
      <c r="G115" s="46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8"/>
      <c r="AR115" s="48"/>
      <c r="AS115" s="48"/>
      <c r="AT115" s="48"/>
      <c r="AU115" s="48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</row>
    <row r="116" spans="1:94" ht="14.25">
      <c r="A116" s="85">
        <f t="shared" si="10"/>
        <v>116</v>
      </c>
      <c r="B116" s="86" t="str">
        <f t="shared" si="11"/>
        <v/>
      </c>
      <c r="C116" s="46"/>
      <c r="D116" s="46"/>
      <c r="E116" s="46"/>
      <c r="F116" s="46"/>
      <c r="G116" s="46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8"/>
      <c r="AR116" s="48"/>
      <c r="AS116" s="48"/>
      <c r="AT116" s="48"/>
      <c r="AU116" s="48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</row>
    <row r="117" spans="1:94" ht="14.25">
      <c r="A117" s="85">
        <f t="shared" si="10"/>
        <v>117</v>
      </c>
      <c r="B117" s="86" t="str">
        <f t="shared" si="11"/>
        <v/>
      </c>
      <c r="C117" s="46"/>
      <c r="D117" s="46"/>
      <c r="E117" s="46"/>
      <c r="F117" s="46"/>
      <c r="G117" s="46"/>
      <c r="H117" s="46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8"/>
      <c r="AR117" s="48"/>
      <c r="AS117" s="48"/>
      <c r="AT117" s="48"/>
      <c r="AU117" s="48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</row>
    <row r="118" spans="1:94" ht="14.25">
      <c r="A118" s="85">
        <f t="shared" si="10"/>
        <v>118</v>
      </c>
      <c r="B118" s="86" t="str">
        <f t="shared" si="11"/>
        <v/>
      </c>
      <c r="C118" s="46"/>
      <c r="D118" s="46"/>
      <c r="E118" s="46"/>
      <c r="F118" s="46"/>
      <c r="G118" s="46"/>
      <c r="H118" s="46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8"/>
      <c r="AR118" s="48"/>
      <c r="AS118" s="48"/>
      <c r="AT118" s="48"/>
      <c r="AU118" s="4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</row>
    <row r="119" spans="1:94" ht="14.25">
      <c r="A119" s="85">
        <f t="shared" si="10"/>
        <v>119</v>
      </c>
      <c r="B119" s="86" t="str">
        <f t="shared" si="11"/>
        <v/>
      </c>
      <c r="C119" s="46"/>
      <c r="D119" s="46"/>
      <c r="E119" s="46"/>
      <c r="F119" s="46"/>
      <c r="G119" s="46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8"/>
      <c r="AR119" s="48"/>
      <c r="AS119" s="48"/>
      <c r="AT119" s="48"/>
      <c r="AU119" s="48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</row>
    <row r="120" spans="1:94" ht="14.25">
      <c r="A120" s="85">
        <f t="shared" si="10"/>
        <v>120</v>
      </c>
      <c r="B120" s="86" t="str">
        <f t="shared" si="11"/>
        <v/>
      </c>
      <c r="C120" s="46"/>
      <c r="D120" s="46"/>
      <c r="E120" s="46"/>
      <c r="F120" s="46"/>
      <c r="G120" s="46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8"/>
      <c r="AR120" s="48"/>
      <c r="AS120" s="48"/>
      <c r="AT120" s="48"/>
      <c r="AU120" s="48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</row>
    <row r="121" spans="1:94" ht="14.25">
      <c r="A121" s="85">
        <f t="shared" si="10"/>
        <v>121</v>
      </c>
      <c r="B121" s="86" t="str">
        <f t="shared" si="11"/>
        <v/>
      </c>
      <c r="C121" s="46"/>
      <c r="D121" s="46"/>
      <c r="E121" s="46"/>
      <c r="F121" s="46"/>
      <c r="G121" s="46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8"/>
      <c r="AR121" s="48"/>
      <c r="AS121" s="48"/>
      <c r="AT121" s="48"/>
      <c r="AU121" s="48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</row>
    <row r="122" spans="1:94" ht="14.25">
      <c r="A122" s="85">
        <f t="shared" si="10"/>
        <v>122</v>
      </c>
      <c r="B122" s="86" t="str">
        <f t="shared" si="11"/>
        <v/>
      </c>
      <c r="C122" s="46"/>
      <c r="D122" s="46"/>
      <c r="E122" s="46"/>
      <c r="F122" s="46"/>
      <c r="G122" s="46"/>
      <c r="H122" s="46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8"/>
      <c r="AR122" s="48"/>
      <c r="AS122" s="48"/>
      <c r="AT122" s="48"/>
      <c r="AU122" s="48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</row>
    <row r="123" spans="1:94" ht="14.25">
      <c r="A123" s="85">
        <f t="shared" si="10"/>
        <v>123</v>
      </c>
      <c r="B123" s="86" t="str">
        <f t="shared" si="11"/>
        <v/>
      </c>
      <c r="C123" s="46"/>
      <c r="D123" s="46"/>
      <c r="E123" s="46"/>
      <c r="F123" s="46"/>
      <c r="G123" s="46"/>
      <c r="H123" s="46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8"/>
      <c r="AR123" s="48"/>
      <c r="AS123" s="48"/>
      <c r="AT123" s="48"/>
      <c r="AU123" s="48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</row>
    <row r="124" spans="1:94" ht="14.25">
      <c r="A124" s="85">
        <f t="shared" si="10"/>
        <v>124</v>
      </c>
      <c r="B124" s="86" t="str">
        <f t="shared" si="11"/>
        <v/>
      </c>
      <c r="C124" s="46"/>
      <c r="D124" s="46"/>
      <c r="E124" s="46"/>
      <c r="F124" s="46"/>
      <c r="G124" s="46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8"/>
      <c r="AR124" s="48"/>
      <c r="AS124" s="48"/>
      <c r="AT124" s="48"/>
      <c r="AU124" s="48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 s="33"/>
      <c r="BW124" s="33"/>
      <c r="BX124" s="33"/>
      <c r="BY124" s="33"/>
      <c r="BZ124" s="33"/>
      <c r="CA124" s="33"/>
      <c r="CB124" s="33"/>
      <c r="CC124" s="33"/>
      <c r="CD124" s="33"/>
      <c r="CE124" s="33"/>
      <c r="CF124" s="33"/>
      <c r="CG124" s="33"/>
      <c r="CH124" s="33"/>
      <c r="CI124" s="33"/>
      <c r="CJ124" s="33"/>
      <c r="CK124" s="33"/>
      <c r="CL124" s="33"/>
      <c r="CM124" s="33"/>
      <c r="CN124" s="33"/>
      <c r="CO124" s="33"/>
      <c r="CP124" s="33"/>
    </row>
    <row r="125" spans="1:94" ht="14.25">
      <c r="A125" s="85">
        <f t="shared" si="10"/>
        <v>125</v>
      </c>
      <c r="B125" s="86" t="str">
        <f t="shared" si="11"/>
        <v/>
      </c>
      <c r="C125" s="46"/>
      <c r="D125" s="46"/>
      <c r="E125" s="46"/>
      <c r="F125" s="46"/>
      <c r="G125" s="46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8"/>
      <c r="AR125" s="48"/>
      <c r="AS125" s="48"/>
      <c r="AT125" s="48"/>
      <c r="AU125" s="48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</row>
    <row r="126" spans="1:94" ht="14.25">
      <c r="A126" s="85">
        <f t="shared" si="10"/>
        <v>126</v>
      </c>
      <c r="B126" s="86" t="str">
        <f t="shared" si="11"/>
        <v/>
      </c>
      <c r="C126" s="46"/>
      <c r="D126" s="46"/>
      <c r="E126" s="46"/>
      <c r="F126" s="46"/>
      <c r="G126" s="46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8"/>
      <c r="AR126" s="48"/>
      <c r="AS126" s="48"/>
      <c r="AT126" s="48"/>
      <c r="AU126" s="48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</row>
    <row r="127" spans="1:94" ht="14.25">
      <c r="A127" s="85">
        <f t="shared" si="10"/>
        <v>127</v>
      </c>
      <c r="B127" s="86" t="str">
        <f t="shared" si="11"/>
        <v/>
      </c>
      <c r="C127" s="46"/>
      <c r="D127" s="46"/>
      <c r="E127" s="46"/>
      <c r="F127" s="46"/>
      <c r="G127" s="46"/>
      <c r="H127" s="46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8"/>
      <c r="AR127" s="48"/>
      <c r="AS127" s="48"/>
      <c r="AT127" s="48"/>
      <c r="AU127" s="48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</row>
    <row r="128" spans="1:94" ht="14.25">
      <c r="A128" s="85">
        <f t="shared" si="10"/>
        <v>128</v>
      </c>
      <c r="B128" s="86" t="str">
        <f t="shared" si="11"/>
        <v/>
      </c>
      <c r="C128" s="46"/>
      <c r="D128" s="46"/>
      <c r="E128" s="46"/>
      <c r="F128" s="46"/>
      <c r="G128" s="46"/>
      <c r="H128" s="46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8"/>
      <c r="AR128" s="48"/>
      <c r="AS128" s="48"/>
      <c r="AT128" s="48"/>
      <c r="AU128" s="4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</row>
    <row r="129" spans="1:94" ht="14.25">
      <c r="A129" s="85">
        <f t="shared" si="10"/>
        <v>129</v>
      </c>
      <c r="B129" s="86" t="str">
        <f t="shared" si="11"/>
        <v/>
      </c>
      <c r="C129" s="46"/>
      <c r="D129" s="46"/>
      <c r="E129" s="46"/>
      <c r="F129" s="46"/>
      <c r="G129" s="46"/>
      <c r="H129" s="4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8"/>
      <c r="AR129" s="48"/>
      <c r="AS129" s="48"/>
      <c r="AT129" s="48"/>
      <c r="AU129" s="48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</row>
    <row r="130" spans="1:94" ht="14.25">
      <c r="A130" s="85">
        <f t="shared" si="10"/>
        <v>130</v>
      </c>
      <c r="B130" s="86" t="str">
        <f t="shared" si="11"/>
        <v/>
      </c>
      <c r="C130" s="46"/>
      <c r="D130" s="46"/>
      <c r="E130" s="46"/>
      <c r="F130" s="46"/>
      <c r="G130" s="46"/>
      <c r="H130" s="4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8"/>
      <c r="AR130" s="48"/>
      <c r="AS130" s="48"/>
      <c r="AT130" s="48"/>
      <c r="AU130" s="48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</row>
    <row r="131" spans="1:94" ht="14.25">
      <c r="A131" s="85">
        <f t="shared" si="10"/>
        <v>131</v>
      </c>
      <c r="B131" s="86" t="str">
        <f t="shared" ref="B131:B159" si="12">C131&amp;D131&amp;E131&amp;F131&amp;G131&amp;H131</f>
        <v/>
      </c>
      <c r="C131" s="46"/>
      <c r="D131" s="46"/>
      <c r="E131" s="46"/>
      <c r="F131" s="46"/>
      <c r="G131" s="46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8"/>
      <c r="AR131" s="48"/>
      <c r="AS131" s="48"/>
      <c r="AT131" s="48"/>
      <c r="AU131" s="48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</row>
    <row r="132" spans="1:94" ht="14.25">
      <c r="A132" s="85">
        <f t="shared" ref="A132:A195" si="13">A131+1</f>
        <v>132</v>
      </c>
      <c r="B132" s="86" t="str">
        <f t="shared" si="12"/>
        <v/>
      </c>
      <c r="C132" s="46"/>
      <c r="D132" s="46"/>
      <c r="E132" s="46"/>
      <c r="F132" s="46"/>
      <c r="G132" s="46"/>
      <c r="H132" s="46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8"/>
      <c r="AR132" s="48"/>
      <c r="AS132" s="48"/>
      <c r="AT132" s="48"/>
      <c r="AU132" s="48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</row>
    <row r="133" spans="1:94" ht="14.25">
      <c r="A133" s="85">
        <f t="shared" si="13"/>
        <v>133</v>
      </c>
      <c r="B133" s="86" t="str">
        <f t="shared" si="12"/>
        <v/>
      </c>
      <c r="C133" s="46"/>
      <c r="D133" s="46"/>
      <c r="E133" s="46"/>
      <c r="F133" s="46"/>
      <c r="G133" s="46"/>
      <c r="H133" s="46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8"/>
      <c r="AR133" s="48"/>
      <c r="AS133" s="48"/>
      <c r="AT133" s="48"/>
      <c r="AU133" s="48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</row>
    <row r="134" spans="1:94" ht="14.25">
      <c r="A134" s="85">
        <f t="shared" si="13"/>
        <v>134</v>
      </c>
      <c r="B134" s="86" t="str">
        <f t="shared" si="12"/>
        <v/>
      </c>
      <c r="C134" s="46"/>
      <c r="D134" s="46"/>
      <c r="E134" s="46"/>
      <c r="F134" s="46"/>
      <c r="G134" s="46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8"/>
      <c r="AR134" s="48"/>
      <c r="AS134" s="48"/>
      <c r="AT134" s="48"/>
      <c r="AU134" s="48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</row>
    <row r="135" spans="1:94" ht="14.25">
      <c r="A135" s="85">
        <f t="shared" si="13"/>
        <v>135</v>
      </c>
      <c r="B135" s="86" t="str">
        <f t="shared" si="12"/>
        <v/>
      </c>
      <c r="C135" s="46"/>
      <c r="D135" s="46"/>
      <c r="E135" s="46"/>
      <c r="F135" s="46"/>
      <c r="G135" s="46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8"/>
      <c r="AR135" s="48"/>
      <c r="AS135" s="48"/>
      <c r="AT135" s="48"/>
      <c r="AU135" s="48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</row>
    <row r="136" spans="1:94" ht="14.25">
      <c r="A136" s="85">
        <f t="shared" si="13"/>
        <v>136</v>
      </c>
      <c r="B136" s="86" t="str">
        <f t="shared" si="12"/>
        <v/>
      </c>
      <c r="C136" s="46"/>
      <c r="D136" s="46"/>
      <c r="E136" s="46"/>
      <c r="F136" s="46"/>
      <c r="G136" s="46"/>
      <c r="H136" s="4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8"/>
      <c r="AR136" s="48"/>
      <c r="AS136" s="48"/>
      <c r="AT136" s="48"/>
      <c r="AU136" s="48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</row>
    <row r="137" spans="1:94" ht="14.25">
      <c r="A137" s="85">
        <f t="shared" si="13"/>
        <v>137</v>
      </c>
      <c r="B137" s="86" t="str">
        <f t="shared" si="12"/>
        <v/>
      </c>
      <c r="C137" s="46"/>
      <c r="D137" s="46"/>
      <c r="E137" s="46"/>
      <c r="F137" s="46"/>
      <c r="G137" s="46"/>
      <c r="H137" s="46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8"/>
      <c r="AR137" s="48"/>
      <c r="AS137" s="48"/>
      <c r="AT137" s="48"/>
      <c r="AU137" s="48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</row>
    <row r="138" spans="1:94" ht="14.25">
      <c r="A138" s="85">
        <f t="shared" si="13"/>
        <v>138</v>
      </c>
      <c r="B138" s="86" t="str">
        <f t="shared" si="12"/>
        <v/>
      </c>
      <c r="C138" s="46"/>
      <c r="D138" s="46"/>
      <c r="E138" s="46"/>
      <c r="F138" s="46"/>
      <c r="G138" s="46"/>
      <c r="H138" s="46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8"/>
      <c r="AR138" s="48"/>
      <c r="AS138" s="48"/>
      <c r="AT138" s="48"/>
      <c r="AU138" s="4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</row>
    <row r="139" spans="1:94" ht="14.25">
      <c r="A139" s="85">
        <f t="shared" si="13"/>
        <v>139</v>
      </c>
      <c r="B139" s="86" t="str">
        <f t="shared" si="12"/>
        <v/>
      </c>
      <c r="C139" s="46"/>
      <c r="D139" s="46"/>
      <c r="E139" s="46"/>
      <c r="F139" s="46"/>
      <c r="G139" s="46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8"/>
      <c r="AR139" s="48"/>
      <c r="AS139" s="48"/>
      <c r="AT139" s="48"/>
      <c r="AU139" s="48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</row>
    <row r="140" spans="1:94" ht="14.25">
      <c r="A140" s="85">
        <f t="shared" si="13"/>
        <v>140</v>
      </c>
      <c r="B140" s="86" t="str">
        <f t="shared" si="12"/>
        <v/>
      </c>
      <c r="C140" s="46"/>
      <c r="D140" s="46"/>
      <c r="E140" s="46"/>
      <c r="F140" s="46"/>
      <c r="G140" s="46"/>
      <c r="H140" s="46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8"/>
      <c r="AR140" s="48"/>
      <c r="AS140" s="48"/>
      <c r="AT140" s="48"/>
      <c r="AU140" s="48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</row>
    <row r="141" spans="1:94" ht="14.25">
      <c r="A141" s="85">
        <f t="shared" si="13"/>
        <v>141</v>
      </c>
      <c r="B141" s="86" t="str">
        <f t="shared" si="12"/>
        <v/>
      </c>
      <c r="C141" s="46"/>
      <c r="D141" s="46"/>
      <c r="E141" s="46"/>
      <c r="F141" s="46"/>
      <c r="G141" s="46"/>
      <c r="H141" s="46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8"/>
      <c r="AR141" s="48"/>
      <c r="AS141" s="48"/>
      <c r="AT141" s="48"/>
      <c r="AU141" s="48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</row>
    <row r="142" spans="1:94" ht="14.25">
      <c r="A142" s="85">
        <f t="shared" si="13"/>
        <v>142</v>
      </c>
      <c r="B142" s="86" t="str">
        <f t="shared" si="12"/>
        <v/>
      </c>
      <c r="C142" s="46"/>
      <c r="D142" s="46"/>
      <c r="E142" s="46"/>
      <c r="F142" s="46"/>
      <c r="G142" s="46"/>
      <c r="H142" s="46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8"/>
      <c r="AR142" s="48"/>
      <c r="AS142" s="48"/>
      <c r="AT142" s="48"/>
      <c r="AU142" s="48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</row>
    <row r="143" spans="1:94" ht="14.25">
      <c r="A143" s="85">
        <f t="shared" si="13"/>
        <v>143</v>
      </c>
      <c r="B143" s="86" t="str">
        <f t="shared" si="12"/>
        <v/>
      </c>
      <c r="C143" s="46"/>
      <c r="D143" s="46"/>
      <c r="E143" s="46"/>
      <c r="F143" s="46"/>
      <c r="G143" s="46"/>
      <c r="H143" s="46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8"/>
      <c r="AR143" s="48"/>
      <c r="AS143" s="48"/>
      <c r="AT143" s="48"/>
      <c r="AU143" s="48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</row>
    <row r="144" spans="1:94" ht="14.25">
      <c r="A144" s="85">
        <f t="shared" si="13"/>
        <v>144</v>
      </c>
      <c r="B144" s="86" t="str">
        <f t="shared" si="12"/>
        <v/>
      </c>
      <c r="C144" s="46"/>
      <c r="D144" s="46"/>
      <c r="E144" s="46"/>
      <c r="F144" s="46"/>
      <c r="G144" s="46"/>
      <c r="H144" s="46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8"/>
      <c r="AR144" s="48"/>
      <c r="AS144" s="48"/>
      <c r="AT144" s="48"/>
      <c r="AU144" s="48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</row>
    <row r="145" spans="1:94" ht="14.25">
      <c r="A145" s="85">
        <f t="shared" si="13"/>
        <v>145</v>
      </c>
      <c r="B145" s="86" t="str">
        <f t="shared" si="12"/>
        <v/>
      </c>
      <c r="C145" s="46"/>
      <c r="D145" s="46"/>
      <c r="E145" s="46"/>
      <c r="F145" s="46"/>
      <c r="G145" s="46"/>
      <c r="H145" s="46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8"/>
      <c r="AR145" s="48"/>
      <c r="AS145" s="48"/>
      <c r="AT145" s="48"/>
      <c r="AU145" s="48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</row>
    <row r="146" spans="1:94" ht="14.25">
      <c r="A146" s="85">
        <f t="shared" si="13"/>
        <v>146</v>
      </c>
      <c r="B146" s="86" t="str">
        <f t="shared" si="12"/>
        <v/>
      </c>
      <c r="C146" s="46"/>
      <c r="D146" s="46"/>
      <c r="E146" s="46"/>
      <c r="F146" s="46"/>
      <c r="G146" s="46"/>
      <c r="H146" s="46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8"/>
      <c r="AR146" s="48"/>
      <c r="AS146" s="48"/>
      <c r="AT146" s="48"/>
      <c r="AU146" s="48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</row>
    <row r="147" spans="1:94" ht="14.25">
      <c r="A147" s="85">
        <f t="shared" si="13"/>
        <v>147</v>
      </c>
      <c r="B147" s="86" t="str">
        <f t="shared" si="12"/>
        <v/>
      </c>
      <c r="C147" s="46"/>
      <c r="D147" s="46"/>
      <c r="E147" s="46"/>
      <c r="F147" s="46"/>
      <c r="G147" s="46"/>
      <c r="H147" s="46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8"/>
      <c r="AR147" s="48"/>
      <c r="AS147" s="48"/>
      <c r="AT147" s="48"/>
      <c r="AU147" s="48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</row>
    <row r="148" spans="1:94" ht="14.25">
      <c r="A148" s="85">
        <f t="shared" si="13"/>
        <v>148</v>
      </c>
      <c r="B148" s="86" t="str">
        <f t="shared" si="12"/>
        <v/>
      </c>
      <c r="C148" s="46"/>
      <c r="D148" s="46"/>
      <c r="E148" s="46"/>
      <c r="F148" s="46"/>
      <c r="G148" s="46"/>
      <c r="H148" s="46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50"/>
      <c r="AR148" s="50"/>
      <c r="AS148" s="50"/>
      <c r="AT148" s="50"/>
      <c r="AU148" s="50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  <c r="BU148" s="33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</row>
    <row r="149" spans="1:94" ht="14.25">
      <c r="A149" s="85">
        <f t="shared" si="13"/>
        <v>149</v>
      </c>
      <c r="B149" s="86" t="str">
        <f t="shared" si="12"/>
        <v/>
      </c>
      <c r="C149" s="51"/>
      <c r="D149" s="51"/>
      <c r="E149" s="51"/>
      <c r="F149" s="51"/>
      <c r="G149" s="51"/>
      <c r="H149" s="51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48"/>
      <c r="AR149" s="48"/>
      <c r="AS149" s="48"/>
      <c r="AT149" s="48"/>
      <c r="AU149" s="48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</row>
    <row r="150" spans="1:94" ht="14.25">
      <c r="A150" s="85">
        <f t="shared" si="13"/>
        <v>150</v>
      </c>
      <c r="B150" s="86" t="str">
        <f t="shared" si="12"/>
        <v/>
      </c>
      <c r="C150" s="51"/>
      <c r="D150" s="51"/>
      <c r="E150" s="51"/>
      <c r="F150" s="51"/>
      <c r="G150" s="51"/>
      <c r="H150" s="51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48"/>
      <c r="AR150" s="48"/>
      <c r="AS150" s="48"/>
      <c r="AT150" s="48"/>
      <c r="AU150" s="48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</row>
    <row r="151" spans="1:94" ht="14.25">
      <c r="A151" s="85">
        <f t="shared" si="13"/>
        <v>151</v>
      </c>
      <c r="B151" s="86" t="str">
        <f t="shared" si="12"/>
        <v/>
      </c>
      <c r="C151" s="51"/>
      <c r="D151" s="51"/>
      <c r="E151" s="51"/>
      <c r="F151" s="51"/>
      <c r="G151" s="51"/>
      <c r="H151" s="51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48"/>
      <c r="AR151" s="48"/>
      <c r="AS151" s="48"/>
      <c r="AT151" s="48"/>
      <c r="AU151" s="48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</row>
    <row r="152" spans="1:94" ht="14.25">
      <c r="A152" s="85">
        <f t="shared" si="13"/>
        <v>152</v>
      </c>
      <c r="B152" s="86" t="str">
        <f t="shared" si="12"/>
        <v/>
      </c>
      <c r="C152" s="51"/>
      <c r="D152" s="51"/>
      <c r="E152" s="51"/>
      <c r="F152" s="51"/>
      <c r="G152" s="51"/>
      <c r="H152" s="5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48"/>
      <c r="AR152" s="48"/>
      <c r="AS152" s="48"/>
      <c r="AT152" s="48"/>
      <c r="AU152" s="48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</row>
    <row r="153" spans="1:94" ht="14.25">
      <c r="A153" s="85">
        <f t="shared" si="13"/>
        <v>153</v>
      </c>
      <c r="B153" s="86" t="str">
        <f t="shared" si="12"/>
        <v/>
      </c>
      <c r="C153" s="51"/>
      <c r="D153" s="51"/>
      <c r="E153" s="51"/>
      <c r="F153" s="51"/>
      <c r="G153" s="51"/>
      <c r="H153" s="51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48"/>
      <c r="AR153" s="48"/>
      <c r="AS153" s="48"/>
      <c r="AT153" s="48"/>
      <c r="AU153" s="48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</row>
    <row r="154" spans="1:94" ht="14.25">
      <c r="A154" s="85">
        <f t="shared" si="13"/>
        <v>154</v>
      </c>
      <c r="B154" s="86" t="str">
        <f t="shared" si="12"/>
        <v/>
      </c>
      <c r="C154" s="51"/>
      <c r="D154" s="51"/>
      <c r="E154" s="51"/>
      <c r="F154" s="51"/>
      <c r="G154" s="51"/>
      <c r="H154" s="51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48"/>
      <c r="AR154" s="48"/>
      <c r="AS154" s="48"/>
      <c r="AT154" s="48"/>
      <c r="AU154" s="48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</row>
    <row r="155" spans="1:94" ht="14.25">
      <c r="A155" s="85">
        <f t="shared" si="13"/>
        <v>155</v>
      </c>
      <c r="B155" s="86" t="str">
        <f t="shared" si="12"/>
        <v/>
      </c>
      <c r="C155" s="51"/>
      <c r="D155" s="51"/>
      <c r="E155" s="51"/>
      <c r="F155" s="51"/>
      <c r="G155" s="51"/>
      <c r="H155" s="51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48"/>
      <c r="AR155" s="48"/>
      <c r="AS155" s="48"/>
      <c r="AT155" s="48"/>
      <c r="AU155" s="48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</row>
    <row r="156" spans="1:94" ht="14.25">
      <c r="A156" s="85">
        <f t="shared" si="13"/>
        <v>156</v>
      </c>
      <c r="B156" s="86" t="str">
        <f t="shared" si="12"/>
        <v/>
      </c>
      <c r="C156" s="51"/>
      <c r="D156" s="51"/>
      <c r="E156" s="51"/>
      <c r="F156" s="51"/>
      <c r="G156" s="51"/>
      <c r="H156" s="51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48"/>
      <c r="AR156" s="48"/>
      <c r="AS156" s="48"/>
      <c r="AT156" s="48"/>
      <c r="AU156" s="48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</row>
    <row r="157" spans="1:94" ht="14.25">
      <c r="A157" s="85">
        <f t="shared" si="13"/>
        <v>157</v>
      </c>
      <c r="B157" s="86" t="str">
        <f t="shared" si="12"/>
        <v/>
      </c>
      <c r="C157" s="51"/>
      <c r="D157" s="51"/>
      <c r="E157" s="51"/>
      <c r="F157" s="51"/>
      <c r="G157" s="51"/>
      <c r="H157" s="51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48"/>
      <c r="AR157" s="48"/>
      <c r="AS157" s="48"/>
      <c r="AT157" s="48"/>
      <c r="AU157" s="48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</row>
    <row r="158" spans="1:94" ht="14.25">
      <c r="A158" s="85">
        <f t="shared" si="13"/>
        <v>158</v>
      </c>
      <c r="B158" s="86" t="str">
        <f t="shared" si="12"/>
        <v/>
      </c>
      <c r="C158" s="51"/>
      <c r="D158" s="51"/>
      <c r="E158" s="51"/>
      <c r="F158" s="51"/>
      <c r="G158" s="51"/>
      <c r="H158" s="51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48"/>
      <c r="AR158" s="48"/>
      <c r="AS158" s="48"/>
      <c r="AT158" s="48"/>
      <c r="AU158" s="4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</row>
    <row r="159" spans="1:94" s="18" customFormat="1" ht="14.25">
      <c r="A159" s="85">
        <f t="shared" si="13"/>
        <v>159</v>
      </c>
      <c r="B159" s="86" t="str">
        <f t="shared" si="12"/>
        <v/>
      </c>
      <c r="C159" s="51"/>
      <c r="D159" s="51"/>
      <c r="E159" s="51"/>
      <c r="F159" s="51"/>
      <c r="G159" s="51"/>
      <c r="H159" s="51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48"/>
      <c r="AR159" s="48"/>
      <c r="AS159" s="48"/>
      <c r="AT159" s="48"/>
      <c r="AU159" s="48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</row>
    <row r="160" spans="1:94" ht="14.25">
      <c r="A160" s="85">
        <f t="shared" si="13"/>
        <v>160</v>
      </c>
      <c r="C160" s="51"/>
      <c r="D160" s="51"/>
      <c r="E160" s="51"/>
      <c r="F160" s="51"/>
      <c r="G160" s="51"/>
      <c r="H160" s="51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48"/>
      <c r="AR160" s="48"/>
      <c r="AS160" s="48"/>
      <c r="AT160" s="48"/>
      <c r="AU160" s="48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</row>
    <row r="161" spans="1:94" ht="14.25">
      <c r="A161" s="85">
        <f t="shared" si="13"/>
        <v>161</v>
      </c>
      <c r="C161" s="51"/>
      <c r="D161" s="51"/>
      <c r="E161" s="51"/>
      <c r="F161" s="51"/>
      <c r="G161" s="51"/>
      <c r="H161" s="51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48"/>
      <c r="AR161" s="48"/>
      <c r="AS161" s="48"/>
      <c r="AT161" s="48"/>
      <c r="AU161" s="48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</row>
    <row r="162" spans="1:94" ht="14.25">
      <c r="A162" s="85">
        <f t="shared" si="13"/>
        <v>162</v>
      </c>
      <c r="C162" s="51"/>
      <c r="D162" s="51"/>
      <c r="E162" s="51"/>
      <c r="F162" s="51"/>
      <c r="G162" s="51"/>
      <c r="H162" s="51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48"/>
      <c r="AR162" s="48"/>
      <c r="AS162" s="48"/>
      <c r="AT162" s="48"/>
      <c r="AU162" s="48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</row>
    <row r="163" spans="1:94" ht="14.25">
      <c r="A163" s="85">
        <f t="shared" si="13"/>
        <v>163</v>
      </c>
      <c r="C163" s="51"/>
      <c r="D163" s="51"/>
      <c r="E163" s="51"/>
      <c r="F163" s="51"/>
      <c r="G163" s="51"/>
      <c r="H163" s="51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48"/>
      <c r="AR163" s="48"/>
      <c r="AS163" s="48"/>
      <c r="AT163" s="48"/>
      <c r="AU163" s="48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</row>
    <row r="164" spans="1:94" ht="14.25">
      <c r="A164" s="85">
        <f t="shared" si="13"/>
        <v>164</v>
      </c>
      <c r="C164" s="51"/>
      <c r="D164" s="51"/>
      <c r="E164" s="51"/>
      <c r="F164" s="51"/>
      <c r="G164" s="51"/>
      <c r="H164" s="51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48"/>
      <c r="AR164" s="48"/>
      <c r="AS164" s="48"/>
      <c r="AT164" s="48"/>
      <c r="AU164" s="48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</row>
    <row r="165" spans="1:94" ht="14.25">
      <c r="A165" s="85">
        <f t="shared" si="13"/>
        <v>165</v>
      </c>
      <c r="C165" s="51"/>
      <c r="D165" s="51"/>
      <c r="E165" s="51"/>
      <c r="F165" s="51"/>
      <c r="G165" s="51"/>
      <c r="H165" s="51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48"/>
      <c r="AR165" s="48"/>
      <c r="AS165" s="48"/>
      <c r="AT165" s="48"/>
      <c r="AU165" s="48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</row>
    <row r="166" spans="1:94" ht="14.25">
      <c r="A166" s="85">
        <f t="shared" si="13"/>
        <v>166</v>
      </c>
      <c r="C166" s="51"/>
      <c r="D166" s="51"/>
      <c r="E166" s="51"/>
      <c r="F166" s="51"/>
      <c r="G166" s="51"/>
      <c r="H166" s="51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48"/>
      <c r="AR166" s="48"/>
      <c r="AS166" s="48"/>
      <c r="AT166" s="48"/>
      <c r="AU166" s="48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</row>
    <row r="167" spans="1:94" ht="14.25">
      <c r="A167" s="85">
        <f t="shared" si="13"/>
        <v>167</v>
      </c>
      <c r="C167" s="21"/>
      <c r="D167" s="21"/>
      <c r="E167" s="21"/>
      <c r="F167" s="21"/>
      <c r="G167" s="21"/>
      <c r="H167" s="21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</row>
    <row r="168" spans="1:94" ht="14.25">
      <c r="A168" s="85">
        <f t="shared" si="13"/>
        <v>168</v>
      </c>
      <c r="C168" s="21"/>
      <c r="D168" s="21"/>
      <c r="E168" s="21"/>
      <c r="F168" s="21"/>
      <c r="G168" s="21"/>
      <c r="H168" s="21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</row>
    <row r="169" spans="1:94" ht="14.25">
      <c r="A169" s="85">
        <f t="shared" si="13"/>
        <v>169</v>
      </c>
      <c r="C169" s="21"/>
      <c r="D169" s="21"/>
      <c r="E169" s="21"/>
      <c r="F169" s="21"/>
      <c r="G169" s="21"/>
      <c r="H169" s="21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</row>
    <row r="170" spans="1:94" ht="14.25">
      <c r="A170" s="85">
        <f t="shared" si="13"/>
        <v>170</v>
      </c>
      <c r="C170" s="21"/>
      <c r="D170" s="21"/>
      <c r="E170" s="21"/>
      <c r="F170" s="21"/>
      <c r="G170" s="21"/>
      <c r="H170" s="21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</row>
    <row r="171" spans="1:94" ht="14.25">
      <c r="A171" s="85">
        <f t="shared" si="13"/>
        <v>171</v>
      </c>
      <c r="C171" s="21"/>
      <c r="D171" s="21"/>
      <c r="E171" s="21"/>
      <c r="F171" s="21"/>
      <c r="G171" s="21"/>
      <c r="H171" s="21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</row>
    <row r="172" spans="1:94" ht="14.25">
      <c r="A172" s="85">
        <f t="shared" si="13"/>
        <v>172</v>
      </c>
      <c r="C172" s="21"/>
      <c r="D172" s="21"/>
      <c r="E172" s="21"/>
      <c r="F172" s="21"/>
      <c r="G172" s="21"/>
      <c r="H172" s="21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</row>
    <row r="173" spans="1:94" ht="14.25">
      <c r="A173" s="85">
        <f t="shared" si="13"/>
        <v>173</v>
      </c>
      <c r="C173" s="21"/>
      <c r="D173" s="21"/>
      <c r="E173" s="21"/>
      <c r="F173" s="21"/>
      <c r="G173" s="21"/>
      <c r="H173" s="21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</row>
    <row r="174" spans="1:94" ht="14.25">
      <c r="A174" s="85">
        <f t="shared" si="13"/>
        <v>174</v>
      </c>
      <c r="C174" s="21"/>
      <c r="D174" s="21"/>
      <c r="E174" s="21"/>
      <c r="F174" s="21"/>
      <c r="G174" s="21"/>
      <c r="H174" s="21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</row>
    <row r="175" spans="1:94" ht="14.25">
      <c r="A175" s="85">
        <f t="shared" si="13"/>
        <v>175</v>
      </c>
      <c r="C175" s="21"/>
      <c r="D175" s="21"/>
      <c r="E175" s="21"/>
      <c r="F175" s="21"/>
      <c r="G175" s="21"/>
      <c r="H175" s="21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</row>
    <row r="176" spans="1:94" ht="14.25">
      <c r="A176" s="85">
        <f t="shared" si="13"/>
        <v>176</v>
      </c>
      <c r="C176" s="21"/>
      <c r="D176" s="21"/>
      <c r="E176" s="21"/>
      <c r="F176" s="21"/>
      <c r="G176" s="21"/>
      <c r="H176" s="21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</row>
    <row r="177" spans="1:94" ht="14.25">
      <c r="A177" s="85">
        <f t="shared" si="13"/>
        <v>177</v>
      </c>
      <c r="C177" s="21"/>
      <c r="D177" s="21"/>
      <c r="E177" s="21"/>
      <c r="F177" s="21"/>
      <c r="G177" s="21"/>
      <c r="H177" s="21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</row>
    <row r="178" spans="1:94" ht="14.25">
      <c r="A178" s="85">
        <f t="shared" si="13"/>
        <v>178</v>
      </c>
      <c r="C178" s="21"/>
      <c r="D178" s="21"/>
      <c r="E178" s="21"/>
      <c r="F178" s="21"/>
      <c r="G178" s="21"/>
      <c r="H178" s="21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</row>
    <row r="179" spans="1:94" ht="14.25">
      <c r="A179" s="85">
        <f t="shared" si="13"/>
        <v>179</v>
      </c>
      <c r="C179" s="21"/>
      <c r="D179" s="21"/>
      <c r="E179" s="21"/>
      <c r="F179" s="21"/>
      <c r="G179" s="21"/>
      <c r="H179" s="21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</row>
    <row r="180" spans="1:94" ht="14.25">
      <c r="A180" s="85">
        <f t="shared" si="13"/>
        <v>180</v>
      </c>
      <c r="C180" s="21"/>
      <c r="D180" s="21"/>
      <c r="E180" s="21"/>
      <c r="F180" s="21"/>
      <c r="G180" s="21"/>
      <c r="H180" s="21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</row>
    <row r="181" spans="1:94" ht="14.25">
      <c r="A181" s="85">
        <f t="shared" si="13"/>
        <v>181</v>
      </c>
      <c r="C181" s="21"/>
      <c r="D181" s="21"/>
      <c r="E181" s="21"/>
      <c r="F181" s="21"/>
      <c r="G181" s="21"/>
      <c r="H181" s="21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</row>
    <row r="182" spans="1:94" ht="14.25">
      <c r="A182" s="85">
        <f t="shared" si="13"/>
        <v>182</v>
      </c>
      <c r="C182" s="21"/>
      <c r="D182" s="21"/>
      <c r="E182" s="21"/>
      <c r="F182" s="21"/>
      <c r="G182" s="21"/>
      <c r="H182" s="21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</row>
    <row r="183" spans="1:94" ht="14.25">
      <c r="A183" s="85">
        <f t="shared" si="13"/>
        <v>183</v>
      </c>
      <c r="C183" s="21"/>
      <c r="D183" s="21"/>
      <c r="E183" s="21"/>
      <c r="F183" s="21"/>
      <c r="G183" s="21"/>
      <c r="H183" s="21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</row>
    <row r="184" spans="1:94" ht="14.25">
      <c r="A184" s="85">
        <f t="shared" si="13"/>
        <v>184</v>
      </c>
      <c r="C184" s="21"/>
      <c r="D184" s="21"/>
      <c r="E184" s="21"/>
      <c r="F184" s="21"/>
      <c r="G184" s="21"/>
      <c r="H184" s="21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</row>
    <row r="185" spans="1:94" ht="14.25">
      <c r="A185" s="85">
        <f t="shared" si="13"/>
        <v>185</v>
      </c>
      <c r="C185" s="21"/>
      <c r="D185" s="21"/>
      <c r="E185" s="21"/>
      <c r="F185" s="21"/>
      <c r="G185" s="21"/>
      <c r="H185" s="21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</row>
    <row r="186" spans="1:94" ht="14.25">
      <c r="A186" s="85">
        <f t="shared" si="13"/>
        <v>186</v>
      </c>
      <c r="C186" s="21"/>
      <c r="D186" s="21"/>
      <c r="E186" s="21"/>
      <c r="F186" s="21"/>
      <c r="G186" s="21"/>
      <c r="H186" s="21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</row>
    <row r="187" spans="1:94" ht="14.25">
      <c r="A187" s="85">
        <f t="shared" si="13"/>
        <v>187</v>
      </c>
      <c r="C187" s="21"/>
      <c r="D187" s="21"/>
      <c r="E187" s="21"/>
      <c r="F187" s="21"/>
      <c r="G187" s="21"/>
      <c r="H187" s="21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</row>
    <row r="188" spans="1:94" ht="14.25">
      <c r="A188" s="85">
        <f t="shared" si="13"/>
        <v>188</v>
      </c>
      <c r="C188" s="21"/>
      <c r="D188" s="21"/>
      <c r="E188" s="21"/>
      <c r="F188" s="21"/>
      <c r="G188" s="21"/>
      <c r="H188" s="21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</row>
    <row r="189" spans="1:94" ht="14.25">
      <c r="A189" s="85">
        <f t="shared" si="13"/>
        <v>189</v>
      </c>
      <c r="C189" s="21"/>
      <c r="D189" s="21"/>
      <c r="E189" s="21"/>
      <c r="F189" s="21"/>
      <c r="G189" s="21"/>
      <c r="H189" s="21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</row>
    <row r="190" spans="1:94" ht="14.25">
      <c r="A190" s="85">
        <f t="shared" si="13"/>
        <v>190</v>
      </c>
      <c r="C190" s="21"/>
      <c r="D190" s="21"/>
      <c r="E190" s="21"/>
      <c r="F190" s="21"/>
      <c r="G190" s="21"/>
      <c r="H190" s="21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</row>
    <row r="191" spans="1:94" ht="14.25">
      <c r="A191" s="85">
        <f t="shared" si="13"/>
        <v>191</v>
      </c>
      <c r="C191" s="21"/>
      <c r="D191" s="21"/>
      <c r="E191" s="21"/>
      <c r="F191" s="21"/>
      <c r="G191" s="21"/>
      <c r="H191" s="21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</row>
    <row r="192" spans="1:94" ht="14.25">
      <c r="A192" s="85">
        <f t="shared" si="13"/>
        <v>192</v>
      </c>
      <c r="C192" s="21"/>
      <c r="D192" s="21"/>
      <c r="E192" s="21"/>
      <c r="F192" s="21"/>
      <c r="G192" s="21"/>
      <c r="H192" s="21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</row>
    <row r="193" spans="1:73" ht="14.25">
      <c r="A193" s="85">
        <f t="shared" si="13"/>
        <v>193</v>
      </c>
      <c r="C193" s="21"/>
      <c r="D193" s="21"/>
      <c r="E193" s="21"/>
      <c r="F193" s="21"/>
      <c r="G193" s="21"/>
      <c r="H193" s="21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</row>
    <row r="194" spans="1:73" ht="14.25">
      <c r="A194" s="85">
        <f t="shared" si="13"/>
        <v>194</v>
      </c>
      <c r="C194" s="21"/>
      <c r="D194" s="21"/>
      <c r="E194" s="21"/>
      <c r="F194" s="21"/>
      <c r="G194" s="21"/>
      <c r="H194" s="21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</row>
    <row r="195" spans="1:73" ht="14.25">
      <c r="A195" s="85">
        <f t="shared" si="13"/>
        <v>195</v>
      </c>
      <c r="C195" s="21"/>
      <c r="D195" s="21"/>
      <c r="E195" s="21"/>
      <c r="F195" s="21"/>
      <c r="G195" s="21"/>
      <c r="H195" s="21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</row>
    <row r="196" spans="1:73" ht="14.25">
      <c r="A196" s="85">
        <f t="shared" ref="A196:A201" si="14">A195+1</f>
        <v>196</v>
      </c>
      <c r="C196" s="21"/>
      <c r="D196" s="21"/>
      <c r="E196" s="21"/>
      <c r="F196" s="21"/>
      <c r="G196" s="21"/>
      <c r="H196" s="21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</row>
    <row r="197" spans="1:73" ht="14.25">
      <c r="A197" s="85">
        <f t="shared" si="14"/>
        <v>197</v>
      </c>
      <c r="C197" s="21"/>
      <c r="D197" s="21"/>
      <c r="E197" s="21"/>
      <c r="F197" s="21"/>
      <c r="G197" s="21"/>
      <c r="H197" s="21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</row>
    <row r="198" spans="1:73" ht="14.25">
      <c r="A198" s="85">
        <f t="shared" si="14"/>
        <v>198</v>
      </c>
      <c r="C198" s="21"/>
      <c r="D198" s="21"/>
      <c r="E198" s="21"/>
      <c r="F198" s="21"/>
      <c r="G198" s="21"/>
      <c r="H198" s="21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</row>
    <row r="199" spans="1:73" ht="14.25">
      <c r="A199" s="85">
        <f t="shared" si="14"/>
        <v>199</v>
      </c>
      <c r="C199" s="21"/>
      <c r="D199" s="21"/>
      <c r="E199" s="21"/>
      <c r="F199" s="21"/>
      <c r="G199" s="21"/>
      <c r="H199" s="21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</row>
    <row r="200" spans="1:73" ht="14.25">
      <c r="A200" s="85">
        <f t="shared" si="14"/>
        <v>200</v>
      </c>
      <c r="C200" s="21"/>
      <c r="D200" s="21"/>
      <c r="E200" s="21"/>
      <c r="F200" s="21"/>
      <c r="G200" s="21"/>
      <c r="H200" s="21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</row>
    <row r="201" spans="1:73" ht="14.25">
      <c r="A201" s="85">
        <f t="shared" si="14"/>
        <v>201</v>
      </c>
      <c r="C201" s="21"/>
      <c r="D201" s="21"/>
      <c r="E201" s="21"/>
      <c r="F201" s="21"/>
      <c r="G201" s="21"/>
      <c r="H201" s="21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</row>
    <row r="202" spans="1:73" ht="14.25">
      <c r="C202" s="21"/>
      <c r="D202" s="21"/>
      <c r="E202" s="21"/>
      <c r="F202" s="21"/>
      <c r="G202" s="21"/>
      <c r="H202" s="21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</row>
    <row r="203" spans="1:73" ht="14.25">
      <c r="C203" s="21"/>
      <c r="D203" s="21"/>
      <c r="E203" s="21"/>
      <c r="F203" s="21"/>
      <c r="G203" s="21"/>
      <c r="H203" s="21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</row>
    <row r="204" spans="1:73" ht="14.25">
      <c r="C204" s="21"/>
      <c r="D204" s="21"/>
      <c r="E204" s="21"/>
      <c r="F204" s="21"/>
      <c r="G204" s="21"/>
      <c r="H204" s="21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</row>
    <row r="205" spans="1:73" ht="14.25">
      <c r="C205" s="21"/>
      <c r="D205" s="21"/>
      <c r="E205" s="21"/>
      <c r="F205" s="21"/>
      <c r="G205" s="21"/>
      <c r="H205" s="21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</row>
    <row r="206" spans="1:73" ht="14.25">
      <c r="C206" s="21"/>
      <c r="D206" s="21"/>
      <c r="E206" s="21"/>
      <c r="F206" s="21"/>
      <c r="G206" s="21"/>
      <c r="H206" s="21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</row>
    <row r="207" spans="1:73" ht="14.25">
      <c r="C207" s="21"/>
      <c r="D207" s="21"/>
      <c r="E207" s="21"/>
      <c r="F207" s="21"/>
      <c r="G207" s="21"/>
      <c r="H207" s="21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</row>
    <row r="208" spans="1:73" ht="14.25">
      <c r="C208" s="21"/>
      <c r="D208" s="21"/>
      <c r="E208" s="21"/>
      <c r="F208" s="21"/>
      <c r="G208" s="21"/>
      <c r="H208" s="21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</row>
    <row r="209" spans="3:73" ht="14.25">
      <c r="C209" s="21"/>
      <c r="D209" s="21"/>
      <c r="E209" s="21"/>
      <c r="F209" s="21"/>
      <c r="G209" s="21"/>
      <c r="H209" s="21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</row>
    <row r="210" spans="3:73" ht="14.25">
      <c r="C210" s="21"/>
      <c r="D210" s="21"/>
      <c r="E210" s="21"/>
      <c r="F210" s="21"/>
      <c r="G210" s="21"/>
      <c r="H210" s="21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</row>
    <row r="211" spans="3:73" ht="14.25">
      <c r="C211" s="21"/>
      <c r="D211" s="21"/>
      <c r="E211" s="21"/>
      <c r="F211" s="21"/>
      <c r="G211" s="21"/>
      <c r="H211" s="21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</row>
    <row r="212" spans="3:73" ht="14.25">
      <c r="C212" s="21"/>
      <c r="D212" s="21"/>
      <c r="E212" s="21"/>
      <c r="F212" s="21"/>
      <c r="G212" s="21"/>
      <c r="H212" s="21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</row>
    <row r="213" spans="3:73" ht="14.25">
      <c r="C213" s="21"/>
      <c r="D213" s="21"/>
      <c r="E213" s="21"/>
      <c r="F213" s="21"/>
      <c r="G213" s="21"/>
      <c r="H213" s="21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</row>
    <row r="214" spans="3:73" ht="14.25">
      <c r="C214" s="21"/>
      <c r="D214" s="21"/>
      <c r="E214" s="21"/>
      <c r="F214" s="21"/>
      <c r="G214" s="21"/>
      <c r="H214" s="21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</row>
    <row r="215" spans="3:73" ht="14.25">
      <c r="C215" s="21"/>
      <c r="D215" s="21"/>
      <c r="E215" s="21"/>
      <c r="F215" s="21"/>
      <c r="G215" s="21"/>
      <c r="H215" s="21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</row>
    <row r="216" spans="3:73" ht="14.25">
      <c r="C216" s="21"/>
      <c r="D216" s="21"/>
      <c r="E216" s="21"/>
      <c r="F216" s="21"/>
      <c r="G216" s="21"/>
      <c r="H216" s="21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</row>
    <row r="217" spans="3:73" ht="14.25">
      <c r="C217" s="21"/>
      <c r="D217" s="21"/>
      <c r="E217" s="21"/>
      <c r="F217" s="21"/>
      <c r="G217" s="21"/>
      <c r="H217" s="21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</row>
    <row r="218" spans="3:73" ht="14.25">
      <c r="C218" s="21"/>
      <c r="D218" s="21"/>
      <c r="E218" s="21"/>
      <c r="F218" s="21"/>
      <c r="G218" s="21"/>
      <c r="H218" s="21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</row>
    <row r="219" spans="3:73" ht="14.25">
      <c r="C219" s="21"/>
      <c r="D219" s="21"/>
      <c r="E219" s="21"/>
      <c r="F219" s="21"/>
      <c r="G219" s="21"/>
      <c r="H219" s="21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</row>
    <row r="220" spans="3:73" ht="14.25">
      <c r="C220" s="21"/>
      <c r="D220" s="21"/>
      <c r="E220" s="21"/>
      <c r="F220" s="21"/>
      <c r="G220" s="21"/>
      <c r="H220" s="21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</row>
    <row r="221" spans="3:73" ht="14.25">
      <c r="C221" s="21"/>
      <c r="D221" s="21"/>
      <c r="E221" s="21"/>
      <c r="F221" s="21"/>
      <c r="G221" s="21"/>
      <c r="H221" s="21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</row>
    <row r="222" spans="3:73" ht="14.25">
      <c r="C222" s="21"/>
      <c r="D222" s="21"/>
      <c r="E222" s="21"/>
      <c r="F222" s="21"/>
      <c r="G222" s="21"/>
      <c r="H222" s="21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</row>
    <row r="223" spans="3:73" ht="14.25">
      <c r="C223" s="21"/>
      <c r="D223" s="21"/>
      <c r="E223" s="21"/>
      <c r="F223" s="21"/>
      <c r="G223" s="21"/>
      <c r="H223" s="21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</row>
    <row r="224" spans="3:73" ht="14.25">
      <c r="C224" s="21"/>
      <c r="D224" s="21"/>
      <c r="E224" s="21"/>
      <c r="F224" s="21"/>
      <c r="G224" s="21"/>
      <c r="H224" s="21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</row>
    <row r="225" spans="3:38" ht="14.25">
      <c r="C225" s="21"/>
      <c r="D225" s="21"/>
      <c r="E225" s="21"/>
      <c r="F225" s="21"/>
      <c r="G225" s="21"/>
      <c r="H225" s="21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</row>
    <row r="226" spans="3:38" ht="14.25">
      <c r="C226" s="21"/>
      <c r="D226" s="21"/>
      <c r="E226" s="21"/>
      <c r="F226" s="21"/>
      <c r="G226" s="21"/>
      <c r="H226" s="21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</row>
    <row r="227" spans="3:38" ht="14.25">
      <c r="C227" s="21"/>
      <c r="D227" s="21"/>
      <c r="E227" s="21"/>
      <c r="F227" s="21"/>
      <c r="G227" s="21"/>
      <c r="H227" s="21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</row>
    <row r="228" spans="3:38" ht="14.25">
      <c r="C228" s="21"/>
      <c r="D228" s="21"/>
      <c r="E228" s="21"/>
      <c r="F228" s="21"/>
      <c r="G228" s="21"/>
      <c r="H228" s="21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</row>
    <row r="229" spans="3:38" ht="14.25">
      <c r="C229" s="21"/>
      <c r="D229" s="21"/>
      <c r="E229" s="21"/>
      <c r="F229" s="21"/>
      <c r="G229" s="21"/>
      <c r="H229" s="21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3:38" ht="14.25">
      <c r="C230" s="21"/>
      <c r="D230" s="21"/>
      <c r="E230" s="21"/>
      <c r="F230" s="21"/>
      <c r="G230" s="21"/>
      <c r="H230" s="21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</row>
    <row r="231" spans="3:38" ht="14.25">
      <c r="C231" s="21"/>
      <c r="D231" s="21"/>
      <c r="E231" s="21"/>
      <c r="F231" s="21"/>
      <c r="G231" s="21"/>
      <c r="H231" s="21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</row>
    <row r="232" spans="3:38" ht="14.25">
      <c r="C232" s="21"/>
      <c r="D232" s="21"/>
      <c r="E232" s="21"/>
      <c r="F232" s="21"/>
      <c r="G232" s="21"/>
      <c r="H232" s="21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</row>
    <row r="233" spans="3:38" ht="14.25">
      <c r="C233" s="21"/>
      <c r="D233" s="21"/>
      <c r="E233" s="21"/>
      <c r="F233" s="21"/>
      <c r="G233" s="21"/>
      <c r="H233" s="21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</row>
    <row r="234" spans="3:38" ht="14.25">
      <c r="C234" s="21"/>
      <c r="D234" s="21"/>
      <c r="E234" s="21"/>
      <c r="F234" s="21"/>
      <c r="G234" s="21"/>
      <c r="H234" s="21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</row>
    <row r="235" spans="3:38" ht="14.25">
      <c r="C235" s="21"/>
      <c r="D235" s="21"/>
      <c r="E235" s="21"/>
      <c r="F235" s="21"/>
      <c r="G235" s="21"/>
      <c r="H235" s="21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</row>
    <row r="236" spans="3:38" ht="14.25">
      <c r="C236" s="21"/>
      <c r="D236" s="21"/>
      <c r="E236" s="21"/>
      <c r="F236" s="21"/>
      <c r="G236" s="21"/>
      <c r="H236" s="21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</row>
    <row r="237" spans="3:38" ht="14.25">
      <c r="C237" s="21"/>
      <c r="D237" s="21"/>
      <c r="E237" s="21"/>
      <c r="F237" s="21"/>
      <c r="G237" s="21"/>
      <c r="H237" s="21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</row>
    <row r="238" spans="3:38" ht="14.25">
      <c r="C238" s="21"/>
      <c r="D238" s="21"/>
      <c r="E238" s="21"/>
      <c r="F238" s="21"/>
      <c r="G238" s="21"/>
      <c r="H238" s="21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</row>
    <row r="239" spans="3:38" ht="14.25">
      <c r="C239" s="21"/>
      <c r="D239" s="21"/>
      <c r="E239" s="21"/>
      <c r="F239" s="21"/>
      <c r="G239" s="21"/>
      <c r="H239" s="21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</row>
    <row r="240" spans="3:38" ht="14.25">
      <c r="C240" s="21"/>
      <c r="D240" s="21"/>
      <c r="E240" s="21"/>
      <c r="F240" s="21"/>
      <c r="G240" s="21"/>
      <c r="H240" s="21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3:38" ht="14.25">
      <c r="C241" s="21"/>
      <c r="D241" s="21"/>
      <c r="E241" s="21"/>
      <c r="F241" s="21"/>
      <c r="G241" s="21"/>
      <c r="H241" s="21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</row>
    <row r="242" spans="3:38" ht="14.25">
      <c r="C242" s="21"/>
      <c r="D242" s="21"/>
      <c r="E242" s="21"/>
      <c r="F242" s="21"/>
      <c r="G242" s="21"/>
      <c r="H242" s="21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</row>
    <row r="243" spans="3:38" ht="14.25">
      <c r="C243" s="21"/>
      <c r="D243" s="21"/>
      <c r="E243" s="21"/>
      <c r="F243" s="21"/>
      <c r="G243" s="21"/>
      <c r="H243" s="21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</row>
    <row r="244" spans="3:38" ht="14.25">
      <c r="C244" s="21"/>
      <c r="D244" s="21"/>
      <c r="E244" s="21"/>
      <c r="F244" s="21"/>
      <c r="G244" s="21"/>
      <c r="H244" s="21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</row>
    <row r="245" spans="3:38" ht="14.25">
      <c r="C245" s="21"/>
      <c r="D245" s="21"/>
      <c r="E245" s="21"/>
      <c r="F245" s="21"/>
      <c r="G245" s="21"/>
      <c r="H245" s="21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</row>
    <row r="246" spans="3:38" ht="14.25">
      <c r="C246" s="21"/>
      <c r="D246" s="21"/>
      <c r="E246" s="21"/>
      <c r="F246" s="21"/>
      <c r="G246" s="21"/>
      <c r="H246" s="21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</row>
    <row r="247" spans="3:38" ht="14.25">
      <c r="C247" s="21"/>
      <c r="D247" s="21"/>
      <c r="E247" s="21"/>
      <c r="F247" s="21"/>
      <c r="G247" s="21"/>
      <c r="H247" s="21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</row>
    <row r="248" spans="3:38" ht="14.25">
      <c r="C248" s="21"/>
      <c r="D248" s="21"/>
      <c r="E248" s="21"/>
      <c r="F248" s="21"/>
      <c r="G248" s="21"/>
      <c r="H248" s="21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</row>
    <row r="249" spans="3:38" ht="14.25">
      <c r="C249" s="21"/>
      <c r="D249" s="21"/>
      <c r="E249" s="21"/>
      <c r="F249" s="21"/>
      <c r="G249" s="21"/>
      <c r="H249" s="21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</row>
    <row r="250" spans="3:38" ht="14.25">
      <c r="C250" s="21"/>
      <c r="D250" s="21"/>
      <c r="E250" s="21"/>
      <c r="F250" s="21"/>
      <c r="G250" s="21"/>
      <c r="H250" s="21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</row>
    <row r="251" spans="3:38" ht="14.25">
      <c r="C251" s="21"/>
      <c r="D251" s="21"/>
      <c r="E251" s="21"/>
      <c r="F251" s="21"/>
      <c r="G251" s="21"/>
      <c r="H251" s="21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</row>
    <row r="252" spans="3:38" ht="14.25">
      <c r="C252" s="21"/>
      <c r="D252" s="21"/>
      <c r="E252" s="21"/>
      <c r="F252" s="21"/>
      <c r="G252" s="21"/>
      <c r="H252" s="21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</row>
    <row r="253" spans="3:38" ht="14.25">
      <c r="C253" s="21"/>
      <c r="D253" s="21"/>
      <c r="E253" s="21"/>
      <c r="F253" s="21"/>
      <c r="G253" s="21"/>
      <c r="H253" s="21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</row>
    <row r="254" spans="3:38" ht="14.25">
      <c r="C254" s="21"/>
      <c r="D254" s="21"/>
      <c r="E254" s="21"/>
      <c r="F254" s="21"/>
      <c r="G254" s="21"/>
      <c r="H254" s="21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</row>
    <row r="255" spans="3:38" ht="14.25">
      <c r="C255" s="21"/>
      <c r="D255" s="21"/>
      <c r="E255" s="21"/>
      <c r="F255" s="21"/>
      <c r="G255" s="21"/>
      <c r="H255" s="21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3:38" ht="14.25">
      <c r="C256" s="21"/>
      <c r="D256" s="21"/>
      <c r="E256" s="21"/>
      <c r="F256" s="21"/>
      <c r="G256" s="21"/>
      <c r="H256" s="21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3:38" ht="14.25">
      <c r="C257" s="21"/>
      <c r="D257" s="21"/>
      <c r="E257" s="21"/>
      <c r="F257" s="21"/>
      <c r="G257" s="21"/>
      <c r="H257" s="21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3:38" ht="14.25">
      <c r="C258" s="21"/>
      <c r="D258" s="21"/>
      <c r="E258" s="21"/>
      <c r="F258" s="21"/>
      <c r="G258" s="21"/>
      <c r="H258" s="21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3:38" ht="14.25">
      <c r="C259" s="21"/>
      <c r="D259" s="21"/>
      <c r="E259" s="21"/>
      <c r="F259" s="21"/>
      <c r="G259" s="21"/>
      <c r="H259" s="21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</row>
    <row r="260" spans="3:38" ht="14.25">
      <c r="C260" s="21"/>
      <c r="D260" s="21"/>
      <c r="E260" s="21"/>
      <c r="F260" s="21"/>
      <c r="G260" s="21"/>
      <c r="H260" s="21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</row>
    <row r="261" spans="3:38" ht="14.25">
      <c r="C261" s="21"/>
      <c r="D261" s="21"/>
      <c r="E261" s="21"/>
      <c r="F261" s="21"/>
      <c r="G261" s="21"/>
      <c r="H261" s="21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</row>
    <row r="262" spans="3:38" ht="14.25">
      <c r="C262" s="21"/>
      <c r="D262" s="21"/>
      <c r="E262" s="21"/>
      <c r="F262" s="21"/>
      <c r="G262" s="21"/>
      <c r="H262" s="21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</row>
    <row r="263" spans="3:38" ht="14.25">
      <c r="C263" s="21"/>
      <c r="D263" s="21"/>
      <c r="E263" s="21"/>
      <c r="F263" s="21"/>
      <c r="G263" s="21"/>
      <c r="H263" s="21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3:38" ht="14.25">
      <c r="C264" s="21"/>
      <c r="D264" s="21"/>
      <c r="E264" s="21"/>
      <c r="F264" s="21"/>
      <c r="G264" s="21"/>
      <c r="H264" s="21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</row>
    <row r="265" spans="3:38" ht="14.25">
      <c r="C265" s="21"/>
      <c r="D265" s="21"/>
      <c r="E265" s="21"/>
      <c r="F265" s="21"/>
      <c r="G265" s="21"/>
      <c r="H265" s="21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</row>
    <row r="266" spans="3:38" ht="14.25">
      <c r="C266" s="21"/>
      <c r="D266" s="21"/>
      <c r="E266" s="21"/>
      <c r="F266" s="21"/>
      <c r="G266" s="21"/>
      <c r="H266" s="21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</row>
    <row r="267" spans="3:38" ht="14.25">
      <c r="C267" s="21"/>
      <c r="D267" s="21"/>
      <c r="E267" s="21"/>
      <c r="F267" s="21"/>
      <c r="G267" s="21"/>
      <c r="H267" s="21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</row>
    <row r="268" spans="3:38" ht="14.25">
      <c r="C268" s="21"/>
      <c r="D268" s="21"/>
      <c r="E268" s="21"/>
      <c r="F268" s="21"/>
      <c r="G268" s="21"/>
      <c r="H268" s="21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</row>
    <row r="269" spans="3:38" ht="14.25">
      <c r="C269" s="21"/>
      <c r="D269" s="21"/>
      <c r="E269" s="21"/>
      <c r="F269" s="21"/>
      <c r="G269" s="21"/>
      <c r="H269" s="21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3:38" ht="14.25">
      <c r="C270" s="21"/>
      <c r="D270" s="21"/>
      <c r="E270" s="21"/>
      <c r="F270" s="21"/>
      <c r="G270" s="21"/>
      <c r="H270" s="21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3:38" ht="14.25">
      <c r="C271" s="21"/>
      <c r="D271" s="21"/>
      <c r="E271" s="21"/>
      <c r="F271" s="21"/>
      <c r="G271" s="21"/>
      <c r="H271" s="21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3:38" ht="14.25">
      <c r="C272" s="21"/>
      <c r="D272" s="21"/>
      <c r="E272" s="21"/>
      <c r="F272" s="21"/>
      <c r="G272" s="21"/>
      <c r="H272" s="21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</row>
    <row r="273" spans="3:38" ht="14.25">
      <c r="C273" s="21"/>
      <c r="D273" s="21"/>
      <c r="E273" s="21"/>
      <c r="F273" s="21"/>
      <c r="G273" s="21"/>
      <c r="H273" s="21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3:38" ht="14.25">
      <c r="C274" s="21"/>
      <c r="D274" s="21"/>
      <c r="E274" s="21"/>
      <c r="F274" s="21"/>
      <c r="G274" s="21"/>
      <c r="H274" s="21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3:38" ht="14.25">
      <c r="C275" s="21"/>
      <c r="D275" s="21"/>
      <c r="E275" s="21"/>
      <c r="F275" s="21"/>
      <c r="G275" s="21"/>
      <c r="H275" s="21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3:38" ht="14.25">
      <c r="C276" s="21"/>
      <c r="D276" s="21"/>
      <c r="E276" s="21"/>
      <c r="F276" s="21"/>
      <c r="G276" s="21"/>
      <c r="H276" s="21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</row>
    <row r="277" spans="3:38" ht="14.25">
      <c r="C277" s="21"/>
      <c r="D277" s="21"/>
      <c r="E277" s="21"/>
      <c r="F277" s="21"/>
      <c r="G277" s="21"/>
      <c r="H277" s="21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3:38" ht="14.25">
      <c r="C278" s="21"/>
      <c r="D278" s="21"/>
      <c r="E278" s="21"/>
      <c r="F278" s="21"/>
      <c r="G278" s="21"/>
      <c r="H278" s="21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</row>
    <row r="279" spans="3:38" ht="14.25">
      <c r="C279" s="21"/>
      <c r="D279" s="21"/>
      <c r="E279" s="21"/>
      <c r="F279" s="21"/>
      <c r="G279" s="21"/>
      <c r="H279" s="21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3:38" ht="14.25">
      <c r="C280" s="21"/>
      <c r="D280" s="21"/>
      <c r="E280" s="21"/>
      <c r="F280" s="21"/>
      <c r="G280" s="21"/>
      <c r="H280" s="21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</row>
    <row r="281" spans="3:38" ht="14.25">
      <c r="C281" s="21"/>
      <c r="D281" s="21"/>
      <c r="E281" s="21"/>
      <c r="F281" s="21"/>
      <c r="G281" s="21"/>
      <c r="H281" s="21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3:38" ht="14.25">
      <c r="C282" s="21"/>
      <c r="D282" s="21"/>
      <c r="E282" s="21"/>
      <c r="F282" s="21"/>
      <c r="G282" s="21"/>
      <c r="H282" s="21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</row>
    <row r="283" spans="3:38" ht="14.25">
      <c r="C283" s="21"/>
      <c r="D283" s="21"/>
      <c r="E283" s="21"/>
      <c r="F283" s="21"/>
      <c r="G283" s="21"/>
      <c r="H283" s="21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</row>
    <row r="284" spans="3:38" ht="14.25">
      <c r="C284" s="21"/>
      <c r="D284" s="21"/>
      <c r="E284" s="21"/>
      <c r="F284" s="21"/>
      <c r="G284" s="21"/>
      <c r="H284" s="21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</row>
    <row r="285" spans="3:38" ht="14.25">
      <c r="C285" s="21"/>
      <c r="D285" s="21"/>
      <c r="E285" s="21"/>
      <c r="F285" s="21"/>
      <c r="G285" s="21"/>
      <c r="H285" s="21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</row>
    <row r="286" spans="3:38" ht="14.25">
      <c r="C286" s="21"/>
      <c r="D286" s="21"/>
      <c r="E286" s="21"/>
      <c r="F286" s="21"/>
      <c r="G286" s="21"/>
      <c r="H286" s="21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3:38" ht="14.25">
      <c r="C287" s="21"/>
      <c r="D287" s="21"/>
      <c r="E287" s="21"/>
      <c r="F287" s="21"/>
      <c r="G287" s="21"/>
      <c r="H287" s="21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</row>
    <row r="288" spans="3:38" ht="14.25">
      <c r="C288" s="21"/>
      <c r="D288" s="21"/>
      <c r="E288" s="21"/>
      <c r="F288" s="21"/>
      <c r="G288" s="21"/>
      <c r="H288" s="21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</row>
    <row r="289" spans="3:38" ht="14.25">
      <c r="C289" s="21"/>
      <c r="D289" s="21"/>
      <c r="E289" s="21"/>
      <c r="F289" s="21"/>
      <c r="G289" s="21"/>
      <c r="H289" s="21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</row>
    <row r="290" spans="3:38" ht="14.25">
      <c r="C290" s="21"/>
      <c r="D290" s="21"/>
      <c r="E290" s="21"/>
      <c r="F290" s="21"/>
      <c r="G290" s="21"/>
      <c r="H290" s="21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</row>
    <row r="291" spans="3:38" ht="14.25">
      <c r="C291" s="21"/>
      <c r="D291" s="21"/>
      <c r="E291" s="21"/>
      <c r="F291" s="21"/>
      <c r="G291" s="21"/>
      <c r="H291" s="21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</row>
    <row r="292" spans="3:38" ht="14.25">
      <c r="C292" s="21"/>
      <c r="D292" s="21"/>
      <c r="E292" s="21"/>
      <c r="F292" s="21"/>
      <c r="G292" s="21"/>
      <c r="H292" s="21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</row>
    <row r="293" spans="3:38" ht="14.25">
      <c r="C293" s="21"/>
      <c r="D293" s="21"/>
      <c r="E293" s="21"/>
      <c r="F293" s="21"/>
      <c r="G293" s="21"/>
      <c r="H293" s="21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</row>
    <row r="294" spans="3:38" ht="14.25">
      <c r="C294" s="21"/>
      <c r="D294" s="21"/>
      <c r="E294" s="21"/>
      <c r="F294" s="21"/>
      <c r="G294" s="21"/>
      <c r="H294" s="21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</row>
    <row r="295" spans="3:38" ht="14.25">
      <c r="C295" s="21"/>
      <c r="D295" s="21"/>
      <c r="E295" s="21"/>
      <c r="F295" s="21"/>
      <c r="G295" s="21"/>
      <c r="H295" s="21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</row>
    <row r="296" spans="3:38" ht="14.25">
      <c r="C296" s="21"/>
      <c r="D296" s="21"/>
      <c r="E296" s="21"/>
      <c r="F296" s="21"/>
      <c r="G296" s="21"/>
      <c r="H296" s="21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</row>
    <row r="297" spans="3:38" ht="14.25">
      <c r="C297" s="21"/>
      <c r="D297" s="21"/>
      <c r="E297" s="21"/>
      <c r="F297" s="21"/>
      <c r="G297" s="21"/>
      <c r="H297" s="21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</row>
    <row r="298" spans="3:38" ht="14.25">
      <c r="C298" s="21"/>
      <c r="D298" s="21"/>
      <c r="E298" s="21"/>
      <c r="F298" s="21"/>
      <c r="G298" s="21"/>
      <c r="H298" s="21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</row>
    <row r="299" spans="3:38" ht="14.25">
      <c r="C299" s="21"/>
      <c r="D299" s="21"/>
      <c r="E299" s="21"/>
      <c r="F299" s="21"/>
      <c r="G299" s="21"/>
      <c r="H299" s="21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</row>
    <row r="300" spans="3:38" ht="14.25">
      <c r="C300" s="21"/>
      <c r="D300" s="21"/>
      <c r="E300" s="21"/>
      <c r="F300" s="21"/>
      <c r="G300" s="21"/>
      <c r="H300" s="21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</row>
    <row r="301" spans="3:38" ht="14.25">
      <c r="C301" s="21"/>
      <c r="D301" s="21"/>
      <c r="E301" s="21"/>
      <c r="F301" s="21"/>
      <c r="G301" s="21"/>
      <c r="H301" s="21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</row>
    <row r="302" spans="3:38" ht="14.25">
      <c r="C302" s="21"/>
      <c r="D302" s="21"/>
      <c r="E302" s="21"/>
      <c r="F302" s="21"/>
      <c r="G302" s="21"/>
      <c r="H302" s="21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</row>
    <row r="303" spans="3:38" ht="14.25">
      <c r="C303" s="21"/>
      <c r="D303" s="21"/>
      <c r="E303" s="21"/>
      <c r="F303" s="21"/>
      <c r="G303" s="21"/>
      <c r="H303" s="21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</row>
    <row r="304" spans="3:38" ht="14.25">
      <c r="C304" s="21"/>
      <c r="D304" s="21"/>
      <c r="E304" s="21"/>
      <c r="F304" s="21"/>
      <c r="G304" s="21"/>
      <c r="H304" s="21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</row>
    <row r="305" spans="3:38" ht="14.25">
      <c r="C305" s="21"/>
      <c r="D305" s="21"/>
      <c r="E305" s="21"/>
      <c r="F305" s="21"/>
      <c r="G305" s="21"/>
      <c r="H305" s="21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</row>
    <row r="306" spans="3:38" ht="14.25">
      <c r="C306" s="21"/>
      <c r="D306" s="21"/>
      <c r="E306" s="21"/>
      <c r="F306" s="21"/>
      <c r="G306" s="21"/>
      <c r="H306" s="21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</row>
    <row r="307" spans="3:38" ht="14.25">
      <c r="C307" s="21"/>
      <c r="D307" s="21"/>
      <c r="E307" s="21"/>
      <c r="F307" s="21"/>
      <c r="G307" s="21"/>
      <c r="H307" s="21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</row>
    <row r="308" spans="3:38" ht="14.25">
      <c r="C308" s="21"/>
      <c r="D308" s="21"/>
      <c r="E308" s="21"/>
      <c r="F308" s="21"/>
      <c r="G308" s="21"/>
      <c r="H308" s="21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</row>
    <row r="309" spans="3:38" ht="14.25">
      <c r="C309" s="21"/>
      <c r="D309" s="21"/>
      <c r="E309" s="21"/>
      <c r="F309" s="21"/>
      <c r="G309" s="21"/>
      <c r="H309" s="21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</row>
    <row r="310" spans="3:38" ht="14.25">
      <c r="C310" s="21"/>
      <c r="D310" s="21"/>
      <c r="E310" s="21"/>
      <c r="F310" s="21"/>
      <c r="G310" s="21"/>
      <c r="H310" s="21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</row>
    <row r="311" spans="3:38" ht="14.25">
      <c r="C311" s="21"/>
      <c r="D311" s="21"/>
      <c r="E311" s="21"/>
      <c r="F311" s="21"/>
      <c r="G311" s="21"/>
      <c r="H311" s="21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</row>
    <row r="312" spans="3:38" ht="14.25">
      <c r="C312" s="21"/>
      <c r="D312" s="21"/>
      <c r="E312" s="21"/>
      <c r="F312" s="21"/>
      <c r="G312" s="21"/>
      <c r="H312" s="21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</row>
    <row r="313" spans="3:38" ht="14.25">
      <c r="C313" s="21"/>
      <c r="D313" s="21"/>
      <c r="E313" s="21"/>
      <c r="F313" s="21"/>
      <c r="G313" s="21"/>
      <c r="H313" s="21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</row>
    <row r="314" spans="3:38" ht="14.25">
      <c r="C314" s="21"/>
      <c r="D314" s="21"/>
      <c r="E314" s="21"/>
      <c r="F314" s="21"/>
      <c r="G314" s="21"/>
      <c r="H314" s="21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</row>
    <row r="315" spans="3:38" ht="14.25">
      <c r="C315" s="21"/>
      <c r="D315" s="21"/>
      <c r="E315" s="21"/>
      <c r="F315" s="21"/>
      <c r="G315" s="21"/>
      <c r="H315" s="21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</row>
    <row r="316" spans="3:38" ht="14.25">
      <c r="C316" s="21"/>
      <c r="D316" s="21"/>
      <c r="E316" s="21"/>
      <c r="F316" s="21"/>
      <c r="G316" s="21"/>
      <c r="H316" s="21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</row>
    <row r="317" spans="3:38" ht="14.25">
      <c r="C317" s="21"/>
      <c r="D317" s="21"/>
      <c r="E317" s="21"/>
      <c r="F317" s="21"/>
      <c r="G317" s="21"/>
      <c r="H317" s="21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</row>
    <row r="318" spans="3:38" ht="14.25">
      <c r="C318" s="21"/>
      <c r="D318" s="21"/>
      <c r="E318" s="21"/>
      <c r="F318" s="21"/>
      <c r="G318" s="21"/>
      <c r="H318" s="21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</row>
    <row r="319" spans="3:38" ht="14.25">
      <c r="C319" s="21"/>
      <c r="D319" s="21"/>
      <c r="E319" s="21"/>
      <c r="F319" s="21"/>
      <c r="G319" s="21"/>
      <c r="H319" s="21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</row>
    <row r="320" spans="3:38" ht="14.25">
      <c r="C320" s="21"/>
      <c r="D320" s="21"/>
      <c r="E320" s="21"/>
      <c r="F320" s="21"/>
      <c r="G320" s="21"/>
      <c r="H320" s="21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</row>
    <row r="321" spans="3:38" ht="14.25">
      <c r="C321" s="21"/>
      <c r="D321" s="21"/>
      <c r="E321" s="21"/>
      <c r="F321" s="21"/>
      <c r="G321" s="21"/>
      <c r="H321" s="21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</row>
    <row r="322" spans="3:38" ht="14.25">
      <c r="C322" s="21"/>
      <c r="D322" s="21"/>
      <c r="E322" s="21"/>
      <c r="F322" s="21"/>
      <c r="G322" s="21"/>
      <c r="H322" s="21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</row>
    <row r="323" spans="3:38" ht="14.25">
      <c r="C323" s="21"/>
      <c r="D323" s="21"/>
      <c r="E323" s="21"/>
      <c r="F323" s="21"/>
      <c r="G323" s="21"/>
      <c r="H323" s="21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</row>
    <row r="324" spans="3:38" ht="14.25">
      <c r="C324" s="21"/>
      <c r="D324" s="21"/>
      <c r="E324" s="21"/>
      <c r="F324" s="21"/>
      <c r="G324" s="21"/>
      <c r="H324" s="21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</row>
    <row r="325" spans="3:38" ht="14.25">
      <c r="C325" s="21"/>
      <c r="D325" s="21"/>
      <c r="E325" s="21"/>
      <c r="F325" s="21"/>
      <c r="G325" s="21"/>
      <c r="H325" s="21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</row>
    <row r="326" spans="3:38" ht="14.25">
      <c r="C326" s="21"/>
      <c r="D326" s="21"/>
      <c r="E326" s="21"/>
      <c r="F326" s="21"/>
      <c r="G326" s="21"/>
      <c r="H326" s="21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</row>
    <row r="327" spans="3:38" ht="14.25">
      <c r="C327" s="21"/>
      <c r="D327" s="21"/>
      <c r="E327" s="21"/>
      <c r="F327" s="21"/>
      <c r="G327" s="21"/>
      <c r="H327" s="21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</row>
    <row r="328" spans="3:38" ht="14.25">
      <c r="C328" s="21"/>
      <c r="D328" s="21"/>
      <c r="E328" s="21"/>
      <c r="F328" s="21"/>
      <c r="G328" s="21"/>
      <c r="H328" s="21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</row>
    <row r="329" spans="3:38" ht="14.25">
      <c r="C329" s="21"/>
      <c r="D329" s="21"/>
      <c r="E329" s="21"/>
      <c r="F329" s="21"/>
      <c r="G329" s="21"/>
      <c r="H329" s="21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</row>
    <row r="330" spans="3:38" ht="14.25">
      <c r="C330" s="21"/>
      <c r="D330" s="21"/>
      <c r="E330" s="21"/>
      <c r="F330" s="21"/>
      <c r="G330" s="21"/>
      <c r="H330" s="21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</row>
    <row r="331" spans="3:38" ht="14.25">
      <c r="C331" s="21"/>
      <c r="D331" s="21"/>
      <c r="E331" s="21"/>
      <c r="F331" s="21"/>
      <c r="G331" s="21"/>
      <c r="H331" s="21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</row>
    <row r="332" spans="3:38" ht="14.25">
      <c r="C332" s="21"/>
      <c r="D332" s="21"/>
      <c r="E332" s="21"/>
      <c r="F332" s="21"/>
      <c r="G332" s="21"/>
      <c r="H332" s="21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</row>
    <row r="333" spans="3:38" ht="14.25">
      <c r="C333" s="21"/>
      <c r="D333" s="21"/>
      <c r="E333" s="21"/>
      <c r="F333" s="21"/>
      <c r="G333" s="21"/>
      <c r="H333" s="21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</row>
    <row r="334" spans="3:38" ht="14.25">
      <c r="C334" s="21"/>
      <c r="D334" s="21"/>
      <c r="E334" s="21"/>
      <c r="F334" s="21"/>
      <c r="G334" s="21"/>
      <c r="H334" s="21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</row>
    <row r="335" spans="3:38" ht="14.25">
      <c r="C335" s="21"/>
      <c r="D335" s="21"/>
      <c r="E335" s="21"/>
      <c r="F335" s="21"/>
      <c r="G335" s="21"/>
      <c r="H335" s="21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</row>
    <row r="336" spans="3:38" ht="14.25">
      <c r="C336" s="21"/>
      <c r="D336" s="21"/>
      <c r="E336" s="21"/>
      <c r="F336" s="21"/>
      <c r="G336" s="21"/>
      <c r="H336" s="21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</row>
    <row r="337" spans="3:38" ht="14.25">
      <c r="C337" s="21"/>
      <c r="D337" s="21"/>
      <c r="E337" s="21"/>
      <c r="F337" s="21"/>
      <c r="G337" s="21"/>
      <c r="H337" s="21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</row>
    <row r="338" spans="3:38" ht="14.25">
      <c r="C338" s="21"/>
      <c r="D338" s="21"/>
      <c r="E338" s="21"/>
      <c r="F338" s="21"/>
      <c r="G338" s="21"/>
      <c r="H338" s="21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</row>
    <row r="339" spans="3:38" ht="14.25">
      <c r="C339" s="21"/>
      <c r="D339" s="21"/>
      <c r="E339" s="21"/>
      <c r="F339" s="21"/>
      <c r="G339" s="21"/>
      <c r="H339" s="21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</row>
    <row r="340" spans="3:38" ht="14.25">
      <c r="C340" s="21"/>
      <c r="D340" s="21"/>
      <c r="E340" s="21"/>
      <c r="F340" s="21"/>
      <c r="G340" s="21"/>
      <c r="H340" s="21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</row>
    <row r="341" spans="3:38" ht="14.25">
      <c r="C341" s="21"/>
      <c r="D341" s="21"/>
      <c r="E341" s="21"/>
      <c r="F341" s="21"/>
      <c r="G341" s="21"/>
      <c r="H341" s="21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</row>
    <row r="342" spans="3:38" ht="14.25">
      <c r="C342" s="21"/>
      <c r="D342" s="21"/>
      <c r="E342" s="21"/>
      <c r="F342" s="21"/>
      <c r="G342" s="21"/>
      <c r="H342" s="21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</row>
    <row r="343" spans="3:38" ht="14.25">
      <c r="C343" s="21"/>
      <c r="D343" s="21"/>
      <c r="E343" s="21"/>
      <c r="F343" s="21"/>
      <c r="G343" s="21"/>
      <c r="H343" s="21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</row>
  </sheetData>
  <phoneticPr fontId="7" type="noConversion"/>
  <pageMargins left="0.75" right="0.75" top="1" bottom="1" header="0.1" footer="0.5"/>
  <pageSetup orientation="portrait" horizontalDpi="0" verticalDpi="0" r:id="rId1"/>
  <headerFooter alignWithMargins="0">
    <oddHeader>&amp;L&amp;"Arial,Bold"&amp;10 3:26 PM
&amp;"Arial,Bold"&amp;10 07/11/16
&amp;"Arial,Bold"&amp;10 Accrual Basis&amp;C&amp;"Arial,Bold"&amp;10 Democracy Now! Productions, Inc.
&amp;"Arial,Bold"&amp;14 Profit &amp;&amp; Loss by Class
&amp;"Arial,Bold"&amp;10 January 2012 through August 2016</oddHeader>
    <oddFooter>&amp;R&amp;"Arial,Bold"&amp;10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">
    <tabColor rgb="FFFFFF00"/>
  </sheetPr>
  <dimension ref="A1:IV343"/>
  <sheetViews>
    <sheetView workbookViewId="0">
      <pane xSplit="8" ySplit="3" topLeftCell="J31" activePane="bottomRight" state="frozenSplit"/>
      <selection activeCell="K47" sqref="K47"/>
      <selection pane="topRight" activeCell="K47" sqref="K47"/>
      <selection pane="bottomLeft" activeCell="K47" sqref="K47"/>
      <selection pane="bottomRight" activeCell="K47" sqref="K47"/>
    </sheetView>
  </sheetViews>
  <sheetFormatPr defaultColWidth="9.1328125" defaultRowHeight="13.15"/>
  <cols>
    <col min="1" max="1" width="9.1328125" style="87"/>
    <col min="2" max="2" width="40.1328125" style="86" customWidth="1"/>
    <col min="3" max="7" width="3" style="19" customWidth="1"/>
    <col min="8" max="8" width="40.1328125" style="19" customWidth="1"/>
    <col min="9" max="13" width="20" style="20" customWidth="1"/>
    <col min="14" max="14" width="14.73046875" style="20" bestFit="1" customWidth="1"/>
    <col min="15" max="15" width="17" style="20" bestFit="1" customWidth="1"/>
    <col min="16" max="16" width="15.86328125" style="20" bestFit="1" customWidth="1"/>
    <col min="17" max="17" width="14" style="20" bestFit="1" customWidth="1"/>
    <col min="18" max="18" width="19.3984375" style="20" bestFit="1" customWidth="1"/>
    <col min="19" max="19" width="12.3984375" style="20" bestFit="1" customWidth="1"/>
    <col min="20" max="20" width="16.59765625" style="20" bestFit="1" customWidth="1"/>
    <col min="21" max="21" width="16.1328125" style="20" bestFit="1" customWidth="1"/>
    <col min="22" max="22" width="19" style="20" bestFit="1" customWidth="1"/>
    <col min="23" max="23" width="12" style="20" bestFit="1" customWidth="1"/>
    <col min="24" max="24" width="16.1328125" style="20" bestFit="1" customWidth="1"/>
    <col min="25" max="27" width="14" style="20" bestFit="1" customWidth="1"/>
    <col min="28" max="28" width="18.1328125" style="20" bestFit="1" customWidth="1"/>
    <col min="29" max="29" width="15.3984375" style="20" bestFit="1" customWidth="1"/>
    <col min="30" max="30" width="19.59765625" style="20" bestFit="1" customWidth="1"/>
    <col min="31" max="32" width="10.3984375" style="20" bestFit="1" customWidth="1"/>
    <col min="33" max="33" width="17.3984375" style="20" bestFit="1" customWidth="1"/>
    <col min="34" max="34" width="15" style="20" bestFit="1" customWidth="1"/>
    <col min="35" max="35" width="16.1328125" style="20" bestFit="1" customWidth="1"/>
    <col min="36" max="36" width="14.59765625" style="20" bestFit="1" customWidth="1"/>
    <col min="37" max="37" width="11.86328125" style="20" bestFit="1" customWidth="1"/>
    <col min="38" max="38" width="11.73046875" style="20" bestFit="1" customWidth="1"/>
    <col min="39" max="39" width="14.59765625" style="17" bestFit="1" customWidth="1"/>
    <col min="40" max="40" width="11.86328125" style="17" bestFit="1" customWidth="1"/>
    <col min="41" max="41" width="11.73046875" style="17" bestFit="1" customWidth="1"/>
    <col min="42" max="16384" width="9.1328125" style="17"/>
  </cols>
  <sheetData>
    <row r="1" spans="1:256" s="87" customFormat="1" ht="12.75">
      <c r="A1" s="85">
        <v>1</v>
      </c>
      <c r="B1" s="85">
        <f t="shared" ref="B1:BM1" si="0">A1+1</f>
        <v>2</v>
      </c>
      <c r="C1" s="85">
        <f t="shared" si="0"/>
        <v>3</v>
      </c>
      <c r="D1" s="85">
        <f t="shared" si="0"/>
        <v>4</v>
      </c>
      <c r="E1" s="85">
        <f t="shared" si="0"/>
        <v>5</v>
      </c>
      <c r="F1" s="85">
        <f t="shared" si="0"/>
        <v>6</v>
      </c>
      <c r="G1" s="85">
        <f t="shared" si="0"/>
        <v>7</v>
      </c>
      <c r="H1" s="85">
        <f t="shared" si="0"/>
        <v>8</v>
      </c>
      <c r="I1" s="85">
        <f t="shared" si="0"/>
        <v>9</v>
      </c>
      <c r="J1" s="85">
        <f t="shared" si="0"/>
        <v>10</v>
      </c>
      <c r="K1" s="85">
        <f t="shared" si="0"/>
        <v>11</v>
      </c>
      <c r="L1" s="85">
        <f t="shared" si="0"/>
        <v>12</v>
      </c>
      <c r="M1" s="85">
        <f t="shared" si="0"/>
        <v>13</v>
      </c>
      <c r="N1" s="85">
        <f t="shared" si="0"/>
        <v>14</v>
      </c>
      <c r="O1" s="85">
        <f t="shared" si="0"/>
        <v>15</v>
      </c>
      <c r="P1" s="85">
        <f t="shared" si="0"/>
        <v>16</v>
      </c>
      <c r="Q1" s="85">
        <f t="shared" si="0"/>
        <v>17</v>
      </c>
      <c r="R1" s="85">
        <f t="shared" si="0"/>
        <v>18</v>
      </c>
      <c r="S1" s="85">
        <f t="shared" si="0"/>
        <v>19</v>
      </c>
      <c r="T1" s="85">
        <f t="shared" si="0"/>
        <v>20</v>
      </c>
      <c r="U1" s="85">
        <f t="shared" si="0"/>
        <v>21</v>
      </c>
      <c r="V1" s="85">
        <f t="shared" si="0"/>
        <v>22</v>
      </c>
      <c r="W1" s="85">
        <f t="shared" si="0"/>
        <v>23</v>
      </c>
      <c r="X1" s="85">
        <f t="shared" si="0"/>
        <v>24</v>
      </c>
      <c r="Y1" s="85">
        <f t="shared" si="0"/>
        <v>25</v>
      </c>
      <c r="Z1" s="85">
        <f t="shared" si="0"/>
        <v>26</v>
      </c>
      <c r="AA1" s="85">
        <f t="shared" si="0"/>
        <v>27</v>
      </c>
      <c r="AB1" s="85">
        <f t="shared" si="0"/>
        <v>28</v>
      </c>
      <c r="AC1" s="85">
        <f t="shared" si="0"/>
        <v>29</v>
      </c>
      <c r="AD1" s="85">
        <f t="shared" si="0"/>
        <v>30</v>
      </c>
      <c r="AE1" s="85">
        <f t="shared" si="0"/>
        <v>31</v>
      </c>
      <c r="AF1" s="85">
        <f t="shared" si="0"/>
        <v>32</v>
      </c>
      <c r="AG1" s="85">
        <f t="shared" si="0"/>
        <v>33</v>
      </c>
      <c r="AH1" s="85">
        <f t="shared" si="0"/>
        <v>34</v>
      </c>
      <c r="AI1" s="85">
        <f t="shared" si="0"/>
        <v>35</v>
      </c>
      <c r="AJ1" s="85">
        <f t="shared" si="0"/>
        <v>36</v>
      </c>
      <c r="AK1" s="85">
        <f t="shared" si="0"/>
        <v>37</v>
      </c>
      <c r="AL1" s="85">
        <f t="shared" si="0"/>
        <v>38</v>
      </c>
      <c r="AM1" s="85">
        <f t="shared" si="0"/>
        <v>39</v>
      </c>
      <c r="AN1" s="85">
        <f t="shared" si="0"/>
        <v>40</v>
      </c>
      <c r="AO1" s="85">
        <f t="shared" si="0"/>
        <v>41</v>
      </c>
      <c r="AP1" s="85">
        <f t="shared" si="0"/>
        <v>42</v>
      </c>
      <c r="AQ1" s="85">
        <f t="shared" si="0"/>
        <v>43</v>
      </c>
      <c r="AR1" s="85">
        <f t="shared" si="0"/>
        <v>44</v>
      </c>
      <c r="AS1" s="85">
        <f t="shared" si="0"/>
        <v>45</v>
      </c>
      <c r="AT1" s="85">
        <f t="shared" si="0"/>
        <v>46</v>
      </c>
      <c r="AU1" s="85">
        <f t="shared" si="0"/>
        <v>47</v>
      </c>
      <c r="AV1" s="85">
        <f t="shared" si="0"/>
        <v>48</v>
      </c>
      <c r="AW1" s="85">
        <f t="shared" si="0"/>
        <v>49</v>
      </c>
      <c r="AX1" s="85">
        <f t="shared" si="0"/>
        <v>50</v>
      </c>
      <c r="AY1" s="85">
        <f t="shared" si="0"/>
        <v>51</v>
      </c>
      <c r="AZ1" s="85">
        <f t="shared" si="0"/>
        <v>52</v>
      </c>
      <c r="BA1" s="85">
        <f t="shared" si="0"/>
        <v>53</v>
      </c>
      <c r="BB1" s="85">
        <f t="shared" si="0"/>
        <v>54</v>
      </c>
      <c r="BC1" s="85">
        <f t="shared" si="0"/>
        <v>55</v>
      </c>
      <c r="BD1" s="85">
        <f t="shared" si="0"/>
        <v>56</v>
      </c>
      <c r="BE1" s="85">
        <f t="shared" si="0"/>
        <v>57</v>
      </c>
      <c r="BF1" s="85">
        <f t="shared" si="0"/>
        <v>58</v>
      </c>
      <c r="BG1" s="85">
        <f t="shared" si="0"/>
        <v>59</v>
      </c>
      <c r="BH1" s="85">
        <f t="shared" si="0"/>
        <v>60</v>
      </c>
      <c r="BI1" s="85">
        <f t="shared" si="0"/>
        <v>61</v>
      </c>
      <c r="BJ1" s="85">
        <f t="shared" si="0"/>
        <v>62</v>
      </c>
      <c r="BK1" s="85">
        <f t="shared" si="0"/>
        <v>63</v>
      </c>
      <c r="BL1" s="85">
        <f t="shared" si="0"/>
        <v>64</v>
      </c>
      <c r="BM1" s="85">
        <f t="shared" si="0"/>
        <v>65</v>
      </c>
      <c r="BN1" s="85">
        <f t="shared" ref="BN1:DY1" si="1">BM1+1</f>
        <v>66</v>
      </c>
      <c r="BO1" s="85">
        <f t="shared" si="1"/>
        <v>67</v>
      </c>
      <c r="BP1" s="85">
        <f t="shared" si="1"/>
        <v>68</v>
      </c>
      <c r="BQ1" s="85">
        <f t="shared" si="1"/>
        <v>69</v>
      </c>
      <c r="BR1" s="85">
        <f t="shared" si="1"/>
        <v>70</v>
      </c>
      <c r="BS1" s="85">
        <f t="shared" si="1"/>
        <v>71</v>
      </c>
      <c r="BT1" s="85">
        <f t="shared" si="1"/>
        <v>72</v>
      </c>
      <c r="BU1" s="85">
        <f t="shared" si="1"/>
        <v>73</v>
      </c>
      <c r="BV1" s="85">
        <f t="shared" si="1"/>
        <v>74</v>
      </c>
      <c r="BW1" s="85">
        <f t="shared" si="1"/>
        <v>75</v>
      </c>
      <c r="BX1" s="85">
        <f t="shared" si="1"/>
        <v>76</v>
      </c>
      <c r="BY1" s="85">
        <f t="shared" si="1"/>
        <v>77</v>
      </c>
      <c r="BZ1" s="85">
        <f t="shared" si="1"/>
        <v>78</v>
      </c>
      <c r="CA1" s="85">
        <f t="shared" si="1"/>
        <v>79</v>
      </c>
      <c r="CB1" s="85">
        <f t="shared" si="1"/>
        <v>80</v>
      </c>
      <c r="CC1" s="85">
        <f t="shared" si="1"/>
        <v>81</v>
      </c>
      <c r="CD1" s="85">
        <f t="shared" si="1"/>
        <v>82</v>
      </c>
      <c r="CE1" s="85">
        <f t="shared" si="1"/>
        <v>83</v>
      </c>
      <c r="CF1" s="85">
        <f t="shared" si="1"/>
        <v>84</v>
      </c>
      <c r="CG1" s="85">
        <f t="shared" si="1"/>
        <v>85</v>
      </c>
      <c r="CH1" s="85">
        <f t="shared" si="1"/>
        <v>86</v>
      </c>
      <c r="CI1" s="85">
        <f t="shared" si="1"/>
        <v>87</v>
      </c>
      <c r="CJ1" s="85">
        <f t="shared" si="1"/>
        <v>88</v>
      </c>
      <c r="CK1" s="85">
        <f t="shared" si="1"/>
        <v>89</v>
      </c>
      <c r="CL1" s="85">
        <f t="shared" si="1"/>
        <v>90</v>
      </c>
      <c r="CM1" s="85">
        <f t="shared" si="1"/>
        <v>91</v>
      </c>
      <c r="CN1" s="85">
        <f t="shared" si="1"/>
        <v>92</v>
      </c>
      <c r="CO1" s="85">
        <f t="shared" si="1"/>
        <v>93</v>
      </c>
      <c r="CP1" s="85">
        <f t="shared" si="1"/>
        <v>94</v>
      </c>
      <c r="CQ1" s="85">
        <f t="shared" si="1"/>
        <v>95</v>
      </c>
      <c r="CR1" s="85">
        <f t="shared" si="1"/>
        <v>96</v>
      </c>
      <c r="CS1" s="85">
        <f t="shared" si="1"/>
        <v>97</v>
      </c>
      <c r="CT1" s="85">
        <f t="shared" si="1"/>
        <v>98</v>
      </c>
      <c r="CU1" s="85">
        <f t="shared" si="1"/>
        <v>99</v>
      </c>
      <c r="CV1" s="85">
        <f t="shared" si="1"/>
        <v>100</v>
      </c>
      <c r="CW1" s="85">
        <f t="shared" si="1"/>
        <v>101</v>
      </c>
      <c r="CX1" s="85">
        <f t="shared" si="1"/>
        <v>102</v>
      </c>
      <c r="CY1" s="85">
        <f t="shared" si="1"/>
        <v>103</v>
      </c>
      <c r="CZ1" s="85">
        <f t="shared" si="1"/>
        <v>104</v>
      </c>
      <c r="DA1" s="85">
        <f t="shared" si="1"/>
        <v>105</v>
      </c>
      <c r="DB1" s="85">
        <f t="shared" si="1"/>
        <v>106</v>
      </c>
      <c r="DC1" s="85">
        <f t="shared" si="1"/>
        <v>107</v>
      </c>
      <c r="DD1" s="85">
        <f t="shared" si="1"/>
        <v>108</v>
      </c>
      <c r="DE1" s="85">
        <f t="shared" si="1"/>
        <v>109</v>
      </c>
      <c r="DF1" s="85">
        <f t="shared" si="1"/>
        <v>110</v>
      </c>
      <c r="DG1" s="85">
        <f t="shared" si="1"/>
        <v>111</v>
      </c>
      <c r="DH1" s="85">
        <f t="shared" si="1"/>
        <v>112</v>
      </c>
      <c r="DI1" s="85">
        <f t="shared" si="1"/>
        <v>113</v>
      </c>
      <c r="DJ1" s="85">
        <f t="shared" si="1"/>
        <v>114</v>
      </c>
      <c r="DK1" s="85">
        <f t="shared" si="1"/>
        <v>115</v>
      </c>
      <c r="DL1" s="85">
        <f t="shared" si="1"/>
        <v>116</v>
      </c>
      <c r="DM1" s="85">
        <f t="shared" si="1"/>
        <v>117</v>
      </c>
      <c r="DN1" s="85">
        <f t="shared" si="1"/>
        <v>118</v>
      </c>
      <c r="DO1" s="85">
        <f t="shared" si="1"/>
        <v>119</v>
      </c>
      <c r="DP1" s="85">
        <f t="shared" si="1"/>
        <v>120</v>
      </c>
      <c r="DQ1" s="85">
        <f t="shared" si="1"/>
        <v>121</v>
      </c>
      <c r="DR1" s="85">
        <f t="shared" si="1"/>
        <v>122</v>
      </c>
      <c r="DS1" s="85">
        <f t="shared" si="1"/>
        <v>123</v>
      </c>
      <c r="DT1" s="85">
        <f t="shared" si="1"/>
        <v>124</v>
      </c>
      <c r="DU1" s="85">
        <f t="shared" si="1"/>
        <v>125</v>
      </c>
      <c r="DV1" s="85">
        <f t="shared" si="1"/>
        <v>126</v>
      </c>
      <c r="DW1" s="85">
        <f t="shared" si="1"/>
        <v>127</v>
      </c>
      <c r="DX1" s="85">
        <f t="shared" si="1"/>
        <v>128</v>
      </c>
      <c r="DY1" s="85">
        <f t="shared" si="1"/>
        <v>129</v>
      </c>
      <c r="DZ1" s="85">
        <f t="shared" ref="DZ1:GK1" si="2">DY1+1</f>
        <v>130</v>
      </c>
      <c r="EA1" s="85">
        <f t="shared" si="2"/>
        <v>131</v>
      </c>
      <c r="EB1" s="85">
        <f t="shared" si="2"/>
        <v>132</v>
      </c>
      <c r="EC1" s="85">
        <f t="shared" si="2"/>
        <v>133</v>
      </c>
      <c r="ED1" s="85">
        <f t="shared" si="2"/>
        <v>134</v>
      </c>
      <c r="EE1" s="85">
        <f t="shared" si="2"/>
        <v>135</v>
      </c>
      <c r="EF1" s="85">
        <f t="shared" si="2"/>
        <v>136</v>
      </c>
      <c r="EG1" s="85">
        <f t="shared" si="2"/>
        <v>137</v>
      </c>
      <c r="EH1" s="85">
        <f t="shared" si="2"/>
        <v>138</v>
      </c>
      <c r="EI1" s="85">
        <f t="shared" si="2"/>
        <v>139</v>
      </c>
      <c r="EJ1" s="85">
        <f t="shared" si="2"/>
        <v>140</v>
      </c>
      <c r="EK1" s="85">
        <f t="shared" si="2"/>
        <v>141</v>
      </c>
      <c r="EL1" s="85">
        <f t="shared" si="2"/>
        <v>142</v>
      </c>
      <c r="EM1" s="85">
        <f t="shared" si="2"/>
        <v>143</v>
      </c>
      <c r="EN1" s="85">
        <f t="shared" si="2"/>
        <v>144</v>
      </c>
      <c r="EO1" s="85">
        <f t="shared" si="2"/>
        <v>145</v>
      </c>
      <c r="EP1" s="85">
        <f t="shared" si="2"/>
        <v>146</v>
      </c>
      <c r="EQ1" s="85">
        <f t="shared" si="2"/>
        <v>147</v>
      </c>
      <c r="ER1" s="85">
        <f t="shared" si="2"/>
        <v>148</v>
      </c>
      <c r="ES1" s="85">
        <f t="shared" si="2"/>
        <v>149</v>
      </c>
      <c r="ET1" s="85">
        <f t="shared" si="2"/>
        <v>150</v>
      </c>
      <c r="EU1" s="85">
        <f t="shared" si="2"/>
        <v>151</v>
      </c>
      <c r="EV1" s="85">
        <f t="shared" si="2"/>
        <v>152</v>
      </c>
      <c r="EW1" s="85">
        <f t="shared" si="2"/>
        <v>153</v>
      </c>
      <c r="EX1" s="85">
        <f t="shared" si="2"/>
        <v>154</v>
      </c>
      <c r="EY1" s="85">
        <f t="shared" si="2"/>
        <v>155</v>
      </c>
      <c r="EZ1" s="85">
        <f t="shared" si="2"/>
        <v>156</v>
      </c>
      <c r="FA1" s="85">
        <f t="shared" si="2"/>
        <v>157</v>
      </c>
      <c r="FB1" s="85">
        <f t="shared" si="2"/>
        <v>158</v>
      </c>
      <c r="FC1" s="85">
        <f t="shared" si="2"/>
        <v>159</v>
      </c>
      <c r="FD1" s="85">
        <f t="shared" si="2"/>
        <v>160</v>
      </c>
      <c r="FE1" s="85">
        <f t="shared" si="2"/>
        <v>161</v>
      </c>
      <c r="FF1" s="85">
        <f t="shared" si="2"/>
        <v>162</v>
      </c>
      <c r="FG1" s="85">
        <f t="shared" si="2"/>
        <v>163</v>
      </c>
      <c r="FH1" s="85">
        <f t="shared" si="2"/>
        <v>164</v>
      </c>
      <c r="FI1" s="85">
        <f t="shared" si="2"/>
        <v>165</v>
      </c>
      <c r="FJ1" s="85">
        <f t="shared" si="2"/>
        <v>166</v>
      </c>
      <c r="FK1" s="85">
        <f t="shared" si="2"/>
        <v>167</v>
      </c>
      <c r="FL1" s="85">
        <f t="shared" si="2"/>
        <v>168</v>
      </c>
      <c r="FM1" s="85">
        <f t="shared" si="2"/>
        <v>169</v>
      </c>
      <c r="FN1" s="85">
        <f t="shared" si="2"/>
        <v>170</v>
      </c>
      <c r="FO1" s="85">
        <f t="shared" si="2"/>
        <v>171</v>
      </c>
      <c r="FP1" s="85">
        <f t="shared" si="2"/>
        <v>172</v>
      </c>
      <c r="FQ1" s="85">
        <f t="shared" si="2"/>
        <v>173</v>
      </c>
      <c r="FR1" s="85">
        <f t="shared" si="2"/>
        <v>174</v>
      </c>
      <c r="FS1" s="85">
        <f t="shared" si="2"/>
        <v>175</v>
      </c>
      <c r="FT1" s="85">
        <f t="shared" si="2"/>
        <v>176</v>
      </c>
      <c r="FU1" s="85">
        <f t="shared" si="2"/>
        <v>177</v>
      </c>
      <c r="FV1" s="85">
        <f t="shared" si="2"/>
        <v>178</v>
      </c>
      <c r="FW1" s="85">
        <f t="shared" si="2"/>
        <v>179</v>
      </c>
      <c r="FX1" s="85">
        <f t="shared" si="2"/>
        <v>180</v>
      </c>
      <c r="FY1" s="85">
        <f t="shared" si="2"/>
        <v>181</v>
      </c>
      <c r="FZ1" s="85">
        <f t="shared" si="2"/>
        <v>182</v>
      </c>
      <c r="GA1" s="85">
        <f t="shared" si="2"/>
        <v>183</v>
      </c>
      <c r="GB1" s="85">
        <f t="shared" si="2"/>
        <v>184</v>
      </c>
      <c r="GC1" s="85">
        <f t="shared" si="2"/>
        <v>185</v>
      </c>
      <c r="GD1" s="85">
        <f t="shared" si="2"/>
        <v>186</v>
      </c>
      <c r="GE1" s="85">
        <f t="shared" si="2"/>
        <v>187</v>
      </c>
      <c r="GF1" s="85">
        <f t="shared" si="2"/>
        <v>188</v>
      </c>
      <c r="GG1" s="85">
        <f t="shared" si="2"/>
        <v>189</v>
      </c>
      <c r="GH1" s="85">
        <f t="shared" si="2"/>
        <v>190</v>
      </c>
      <c r="GI1" s="85">
        <f t="shared" si="2"/>
        <v>191</v>
      </c>
      <c r="GJ1" s="85">
        <f t="shared" si="2"/>
        <v>192</v>
      </c>
      <c r="GK1" s="85">
        <f t="shared" si="2"/>
        <v>193</v>
      </c>
      <c r="GL1" s="85">
        <f t="shared" ref="GL1:IV1" si="3">GK1+1</f>
        <v>194</v>
      </c>
      <c r="GM1" s="85">
        <f t="shared" si="3"/>
        <v>195</v>
      </c>
      <c r="GN1" s="85">
        <f t="shared" si="3"/>
        <v>196</v>
      </c>
      <c r="GO1" s="85">
        <f t="shared" si="3"/>
        <v>197</v>
      </c>
      <c r="GP1" s="85">
        <f t="shared" si="3"/>
        <v>198</v>
      </c>
      <c r="GQ1" s="85">
        <f t="shared" si="3"/>
        <v>199</v>
      </c>
      <c r="GR1" s="85">
        <f t="shared" si="3"/>
        <v>200</v>
      </c>
      <c r="GS1" s="85">
        <f t="shared" si="3"/>
        <v>201</v>
      </c>
      <c r="GT1" s="85">
        <f t="shared" si="3"/>
        <v>202</v>
      </c>
      <c r="GU1" s="85">
        <f t="shared" si="3"/>
        <v>203</v>
      </c>
      <c r="GV1" s="85">
        <f t="shared" si="3"/>
        <v>204</v>
      </c>
      <c r="GW1" s="85">
        <f t="shared" si="3"/>
        <v>205</v>
      </c>
      <c r="GX1" s="85">
        <f t="shared" si="3"/>
        <v>206</v>
      </c>
      <c r="GY1" s="85">
        <f t="shared" si="3"/>
        <v>207</v>
      </c>
      <c r="GZ1" s="85">
        <f t="shared" si="3"/>
        <v>208</v>
      </c>
      <c r="HA1" s="85">
        <f t="shared" si="3"/>
        <v>209</v>
      </c>
      <c r="HB1" s="85">
        <f t="shared" si="3"/>
        <v>210</v>
      </c>
      <c r="HC1" s="85">
        <f t="shared" si="3"/>
        <v>211</v>
      </c>
      <c r="HD1" s="85">
        <f t="shared" si="3"/>
        <v>212</v>
      </c>
      <c r="HE1" s="85">
        <f t="shared" si="3"/>
        <v>213</v>
      </c>
      <c r="HF1" s="85">
        <f t="shared" si="3"/>
        <v>214</v>
      </c>
      <c r="HG1" s="85">
        <f t="shared" si="3"/>
        <v>215</v>
      </c>
      <c r="HH1" s="85">
        <f t="shared" si="3"/>
        <v>216</v>
      </c>
      <c r="HI1" s="85">
        <f t="shared" si="3"/>
        <v>217</v>
      </c>
      <c r="HJ1" s="85">
        <f t="shared" si="3"/>
        <v>218</v>
      </c>
      <c r="HK1" s="85">
        <f t="shared" si="3"/>
        <v>219</v>
      </c>
      <c r="HL1" s="85">
        <f t="shared" si="3"/>
        <v>220</v>
      </c>
      <c r="HM1" s="85">
        <f t="shared" si="3"/>
        <v>221</v>
      </c>
      <c r="HN1" s="85">
        <f t="shared" si="3"/>
        <v>222</v>
      </c>
      <c r="HO1" s="85">
        <f t="shared" si="3"/>
        <v>223</v>
      </c>
      <c r="HP1" s="85">
        <f t="shared" si="3"/>
        <v>224</v>
      </c>
      <c r="HQ1" s="85">
        <f t="shared" si="3"/>
        <v>225</v>
      </c>
      <c r="HR1" s="85">
        <f t="shared" si="3"/>
        <v>226</v>
      </c>
      <c r="HS1" s="85">
        <f t="shared" si="3"/>
        <v>227</v>
      </c>
      <c r="HT1" s="85">
        <f t="shared" si="3"/>
        <v>228</v>
      </c>
      <c r="HU1" s="85">
        <f t="shared" si="3"/>
        <v>229</v>
      </c>
      <c r="HV1" s="85">
        <f t="shared" si="3"/>
        <v>230</v>
      </c>
      <c r="HW1" s="85">
        <f t="shared" si="3"/>
        <v>231</v>
      </c>
      <c r="HX1" s="85">
        <f t="shared" si="3"/>
        <v>232</v>
      </c>
      <c r="HY1" s="85">
        <f t="shared" si="3"/>
        <v>233</v>
      </c>
      <c r="HZ1" s="85">
        <f t="shared" si="3"/>
        <v>234</v>
      </c>
      <c r="IA1" s="85">
        <f t="shared" si="3"/>
        <v>235</v>
      </c>
      <c r="IB1" s="85">
        <f t="shared" si="3"/>
        <v>236</v>
      </c>
      <c r="IC1" s="85">
        <f t="shared" si="3"/>
        <v>237</v>
      </c>
      <c r="ID1" s="85">
        <f t="shared" si="3"/>
        <v>238</v>
      </c>
      <c r="IE1" s="85">
        <f t="shared" si="3"/>
        <v>239</v>
      </c>
      <c r="IF1" s="85">
        <f t="shared" si="3"/>
        <v>240</v>
      </c>
      <c r="IG1" s="85">
        <f t="shared" si="3"/>
        <v>241</v>
      </c>
      <c r="IH1" s="85">
        <f t="shared" si="3"/>
        <v>242</v>
      </c>
      <c r="II1" s="85">
        <f t="shared" si="3"/>
        <v>243</v>
      </c>
      <c r="IJ1" s="85">
        <f t="shared" si="3"/>
        <v>244</v>
      </c>
      <c r="IK1" s="85">
        <f t="shared" si="3"/>
        <v>245</v>
      </c>
      <c r="IL1" s="85">
        <f t="shared" si="3"/>
        <v>246</v>
      </c>
      <c r="IM1" s="85">
        <f t="shared" si="3"/>
        <v>247</v>
      </c>
      <c r="IN1" s="85">
        <f t="shared" si="3"/>
        <v>248</v>
      </c>
      <c r="IO1" s="85">
        <f t="shared" si="3"/>
        <v>249</v>
      </c>
      <c r="IP1" s="85">
        <f t="shared" si="3"/>
        <v>250</v>
      </c>
      <c r="IQ1" s="85">
        <f t="shared" si="3"/>
        <v>251</v>
      </c>
      <c r="IR1" s="85">
        <f t="shared" si="3"/>
        <v>252</v>
      </c>
      <c r="IS1" s="85">
        <f t="shared" si="3"/>
        <v>253</v>
      </c>
      <c r="IT1" s="85">
        <f t="shared" si="3"/>
        <v>254</v>
      </c>
      <c r="IU1" s="85">
        <f t="shared" si="3"/>
        <v>255</v>
      </c>
      <c r="IV1" s="85">
        <f t="shared" si="3"/>
        <v>256</v>
      </c>
    </row>
    <row r="2" spans="1:256" s="85" customFormat="1" ht="14.25">
      <c r="A2" s="85">
        <f>A1+1</f>
        <v>2</v>
      </c>
      <c r="B2" s="85" t="s">
        <v>103</v>
      </c>
      <c r="C2" s="88"/>
      <c r="D2" s="88"/>
      <c r="E2" s="88"/>
      <c r="F2" s="88"/>
      <c r="G2" s="88"/>
      <c r="H2" s="88"/>
      <c r="I2" s="89"/>
      <c r="J2" s="89"/>
      <c r="K2" s="89"/>
      <c r="L2" s="88"/>
      <c r="M2" s="88"/>
      <c r="N2" s="88"/>
      <c r="O2" s="88"/>
      <c r="P2" s="89"/>
      <c r="Q2" s="88"/>
      <c r="R2" s="89"/>
      <c r="S2" s="88"/>
      <c r="T2" s="88"/>
      <c r="U2" s="89"/>
      <c r="V2" s="88"/>
      <c r="W2" s="88"/>
      <c r="X2" s="88"/>
      <c r="Y2" s="88"/>
      <c r="Z2" s="88"/>
      <c r="AA2" s="89"/>
      <c r="AB2" s="88"/>
      <c r="AC2" s="88"/>
      <c r="AD2" s="88"/>
      <c r="AE2" s="89"/>
      <c r="AF2" s="88"/>
      <c r="AG2" s="89"/>
      <c r="AH2" s="88"/>
      <c r="AI2" s="88"/>
      <c r="AJ2" s="88"/>
      <c r="AK2" s="88"/>
      <c r="AL2" s="88"/>
      <c r="AM2" s="89"/>
      <c r="AN2" s="89"/>
      <c r="AO2" s="89"/>
      <c r="AP2" s="90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1:256" s="16" customFormat="1" ht="14.25">
      <c r="A3" s="85">
        <f>A2+1</f>
        <v>3</v>
      </c>
      <c r="B3" s="86" t="str">
        <f t="shared" ref="B3:B34" si="4">C3&amp;D3&amp;E3&amp;F3&amp;G3&amp;H3</f>
        <v/>
      </c>
      <c r="C3" s="44"/>
      <c r="D3" s="44"/>
      <c r="E3" s="44"/>
      <c r="F3" s="44"/>
      <c r="G3" s="44"/>
      <c r="H3" s="64"/>
      <c r="I3" s="196" t="s">
        <v>58</v>
      </c>
      <c r="J3" s="196" t="s">
        <v>59</v>
      </c>
      <c r="K3" s="196" t="s">
        <v>60</v>
      </c>
      <c r="L3" s="196" t="s">
        <v>47</v>
      </c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</row>
    <row r="4" spans="1:256" ht="14.25">
      <c r="A4" s="85">
        <f t="shared" ref="A4:A67" si="5">A3+1</f>
        <v>4</v>
      </c>
      <c r="B4" s="86" t="str">
        <f t="shared" si="4"/>
        <v>Revenue</v>
      </c>
      <c r="C4" s="46"/>
      <c r="D4" s="46"/>
      <c r="E4" s="46"/>
      <c r="F4" s="46"/>
      <c r="G4" s="46"/>
      <c r="H4" s="197" t="s">
        <v>120</v>
      </c>
      <c r="I4" s="198"/>
      <c r="J4" s="198"/>
      <c r="K4" s="198"/>
      <c r="L4" s="198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256" ht="14.25">
      <c r="A5" s="85">
        <f t="shared" si="5"/>
        <v>5</v>
      </c>
      <c r="B5" s="86" t="str">
        <f t="shared" si="4"/>
        <v xml:space="preserve">   4000 Individual Contributions</v>
      </c>
      <c r="C5" s="46"/>
      <c r="D5" s="46"/>
      <c r="E5" s="46"/>
      <c r="F5" s="46"/>
      <c r="G5" s="46"/>
      <c r="H5" s="197" t="s">
        <v>46</v>
      </c>
      <c r="I5" s="198"/>
      <c r="J5" s="198"/>
      <c r="K5" s="199">
        <f>13295.16</f>
        <v>13295.16</v>
      </c>
      <c r="L5" s="199">
        <f>((I5)+(J5))+(K5)</f>
        <v>13295.16</v>
      </c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8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256" ht="14.25">
      <c r="A6" s="85">
        <f t="shared" si="5"/>
        <v>6</v>
      </c>
      <c r="B6" s="86" t="str">
        <f t="shared" si="4"/>
        <v xml:space="preserve">   4100 Corporate Contributions</v>
      </c>
      <c r="C6" s="46"/>
      <c r="D6" s="46"/>
      <c r="E6" s="46"/>
      <c r="F6" s="46"/>
      <c r="G6" s="46"/>
      <c r="H6" s="197" t="s">
        <v>48</v>
      </c>
      <c r="I6" s="198"/>
      <c r="J6" s="198"/>
      <c r="K6" s="199">
        <f>28110.97</f>
        <v>28110.97</v>
      </c>
      <c r="L6" s="199">
        <f>((I6)+(J6))+(K6)</f>
        <v>28110.97</v>
      </c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8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256" ht="14.25">
      <c r="A7" s="85">
        <f t="shared" si="5"/>
        <v>7</v>
      </c>
      <c r="B7" s="86" t="str">
        <f t="shared" si="4"/>
        <v xml:space="preserve">   4200 Foundation Contributions</v>
      </c>
      <c r="C7" s="46"/>
      <c r="D7" s="46"/>
      <c r="E7" s="46"/>
      <c r="F7" s="46"/>
      <c r="G7" s="46"/>
      <c r="H7" s="197" t="s">
        <v>49</v>
      </c>
      <c r="I7" s="198"/>
      <c r="J7" s="198"/>
      <c r="K7" s="199">
        <f>500</f>
        <v>500</v>
      </c>
      <c r="L7" s="199">
        <f>((I7)+(J7))+(K7)</f>
        <v>500</v>
      </c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8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256" ht="14.25">
      <c r="A8" s="85">
        <f t="shared" si="5"/>
        <v>8</v>
      </c>
      <c r="B8" s="86" t="str">
        <f t="shared" si="4"/>
        <v>Total Revenue</v>
      </c>
      <c r="C8" s="46"/>
      <c r="D8" s="46"/>
      <c r="E8" s="46"/>
      <c r="F8" s="46"/>
      <c r="G8" s="46"/>
      <c r="H8" s="197" t="s">
        <v>55</v>
      </c>
      <c r="I8" s="200">
        <f>((I5)+(I6))+(I7)</f>
        <v>0</v>
      </c>
      <c r="J8" s="200">
        <f>((J5)+(J6))+(J7)</f>
        <v>0</v>
      </c>
      <c r="K8" s="200">
        <f>((K5)+(K6))+(K7)</f>
        <v>41906.130000000005</v>
      </c>
      <c r="L8" s="200">
        <f>((I8)+(J8))+(K8)</f>
        <v>41906.130000000005</v>
      </c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256" ht="14.25">
      <c r="A9" s="85">
        <f t="shared" si="5"/>
        <v>9</v>
      </c>
      <c r="B9" s="86" t="str">
        <f t="shared" si="4"/>
        <v>Gross Profit</v>
      </c>
      <c r="C9" s="46"/>
      <c r="D9" s="46"/>
      <c r="E9" s="46"/>
      <c r="F9" s="46"/>
      <c r="G9" s="46"/>
      <c r="H9" s="197" t="s">
        <v>214</v>
      </c>
      <c r="I9" s="200">
        <f>(I8)-(0)</f>
        <v>0</v>
      </c>
      <c r="J9" s="200">
        <f>(J8)-(0)</f>
        <v>0</v>
      </c>
      <c r="K9" s="200">
        <f>(K8)-(0)</f>
        <v>41906.130000000005</v>
      </c>
      <c r="L9" s="200">
        <f>((I9)+(J9))+(K9)</f>
        <v>41906.130000000005</v>
      </c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256" ht="14.25">
      <c r="A10" s="85">
        <f t="shared" si="5"/>
        <v>10</v>
      </c>
      <c r="B10" s="86" t="str">
        <f t="shared" si="4"/>
        <v>Expenditures</v>
      </c>
      <c r="C10" s="46"/>
      <c r="D10" s="46"/>
      <c r="E10" s="46"/>
      <c r="F10" s="46"/>
      <c r="G10" s="46"/>
      <c r="H10" s="197" t="s">
        <v>121</v>
      </c>
      <c r="I10" s="198"/>
      <c r="J10" s="198"/>
      <c r="K10" s="198"/>
      <c r="L10" s="198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256" ht="14.25">
      <c r="A11" s="85">
        <f t="shared" si="5"/>
        <v>11</v>
      </c>
      <c r="B11" s="86" t="str">
        <f t="shared" si="4"/>
        <v xml:space="preserve">   5000 Payroll Expenses</v>
      </c>
      <c r="C11" s="46"/>
      <c r="D11" s="46"/>
      <c r="E11" s="46"/>
      <c r="F11" s="46"/>
      <c r="G11" s="46"/>
      <c r="H11" s="197" t="s">
        <v>193</v>
      </c>
      <c r="I11" s="198"/>
      <c r="J11" s="198"/>
      <c r="K11" s="198"/>
      <c r="L11" s="199">
        <f t="shared" ref="L11:L45" si="6">((I11)+(J11))+(K11)</f>
        <v>0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256" ht="14.25">
      <c r="A12" s="85">
        <f t="shared" si="5"/>
        <v>12</v>
      </c>
      <c r="B12" s="86" t="str">
        <f t="shared" si="4"/>
        <v xml:space="preserve">      5010 Salary &amp; Wages</v>
      </c>
      <c r="C12" s="46"/>
      <c r="D12" s="46"/>
      <c r="E12" s="46"/>
      <c r="F12" s="46"/>
      <c r="G12" s="46"/>
      <c r="H12" s="197" t="s">
        <v>215</v>
      </c>
      <c r="I12" s="199">
        <f>115576.47</f>
        <v>115576.47</v>
      </c>
      <c r="J12" s="199">
        <f>2568.35</f>
        <v>2568.35</v>
      </c>
      <c r="K12" s="199">
        <f>12273.47</f>
        <v>12273.47</v>
      </c>
      <c r="L12" s="199">
        <f t="shared" si="6"/>
        <v>130418.29000000001</v>
      </c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256" ht="14.25">
      <c r="A13" s="85">
        <f t="shared" si="5"/>
        <v>13</v>
      </c>
      <c r="B13" s="86" t="str">
        <f t="shared" si="4"/>
        <v xml:space="preserve">      5100 Payroll Taxes</v>
      </c>
      <c r="C13" s="46"/>
      <c r="D13" s="46"/>
      <c r="E13" s="46"/>
      <c r="F13" s="46"/>
      <c r="G13" s="46"/>
      <c r="H13" s="197" t="s">
        <v>216</v>
      </c>
      <c r="I13" s="198"/>
      <c r="J13" s="198"/>
      <c r="K13" s="198"/>
      <c r="L13" s="199">
        <f t="shared" si="6"/>
        <v>0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256" ht="14.25">
      <c r="A14" s="85">
        <f t="shared" si="5"/>
        <v>14</v>
      </c>
      <c r="B14" s="86" t="str">
        <f t="shared" si="4"/>
        <v xml:space="preserve">         5110 FICA</v>
      </c>
      <c r="C14" s="46"/>
      <c r="D14" s="46"/>
      <c r="E14" s="46"/>
      <c r="F14" s="46"/>
      <c r="G14" s="46"/>
      <c r="H14" s="197" t="s">
        <v>217</v>
      </c>
      <c r="I14" s="199">
        <f>8799.72</f>
        <v>8799.7199999999993</v>
      </c>
      <c r="J14" s="199">
        <f>195.56</f>
        <v>195.56</v>
      </c>
      <c r="K14" s="199">
        <f>782.22</f>
        <v>782.22</v>
      </c>
      <c r="L14" s="199">
        <f t="shared" si="6"/>
        <v>9777.4999999999982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256" ht="14.25">
      <c r="A15" s="85">
        <f t="shared" si="5"/>
        <v>15</v>
      </c>
      <c r="B15" s="86" t="str">
        <f t="shared" si="4"/>
        <v xml:space="preserve">         5130 Disability</v>
      </c>
      <c r="C15" s="46"/>
      <c r="D15" s="46"/>
      <c r="E15" s="46"/>
      <c r="F15" s="46"/>
      <c r="G15" s="46"/>
      <c r="H15" s="197" t="s">
        <v>310</v>
      </c>
      <c r="I15" s="198"/>
      <c r="J15" s="198"/>
      <c r="K15" s="199">
        <f>-23.4</f>
        <v>-23.4</v>
      </c>
      <c r="L15" s="199">
        <f t="shared" si="6"/>
        <v>-23.4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256" ht="14.25">
      <c r="A16" s="85">
        <f t="shared" si="5"/>
        <v>16</v>
      </c>
      <c r="B16" s="86" t="str">
        <f t="shared" si="4"/>
        <v xml:space="preserve">      Total 5100 Payroll Taxes</v>
      </c>
      <c r="C16" s="46"/>
      <c r="D16" s="46"/>
      <c r="E16" s="46"/>
      <c r="F16" s="46"/>
      <c r="G16" s="46"/>
      <c r="H16" s="197" t="s">
        <v>218</v>
      </c>
      <c r="I16" s="200">
        <f>((I13)+(I14))+(I15)</f>
        <v>8799.7199999999993</v>
      </c>
      <c r="J16" s="200">
        <f>((J13)+(J14))+(J15)</f>
        <v>195.56</v>
      </c>
      <c r="K16" s="200">
        <f>((K13)+(K14))+(K15)</f>
        <v>758.82</v>
      </c>
      <c r="L16" s="200">
        <f t="shared" si="6"/>
        <v>9754.0999999999985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ht="14.25">
      <c r="A17" s="85">
        <f t="shared" si="5"/>
        <v>17</v>
      </c>
      <c r="B17" s="86" t="str">
        <f t="shared" si="4"/>
        <v xml:space="preserve">      5200 Employee Benefits</v>
      </c>
      <c r="C17" s="46"/>
      <c r="D17" s="46"/>
      <c r="E17" s="46"/>
      <c r="F17" s="46"/>
      <c r="G17" s="46"/>
      <c r="H17" s="197" t="s">
        <v>228</v>
      </c>
      <c r="I17" s="199">
        <f>15154.38</f>
        <v>15154.38</v>
      </c>
      <c r="J17" s="199">
        <f>336.75</f>
        <v>336.75</v>
      </c>
      <c r="K17" s="199">
        <f>1347.07</f>
        <v>1347.07</v>
      </c>
      <c r="L17" s="199">
        <f t="shared" si="6"/>
        <v>16838.2</v>
      </c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ht="14.25">
      <c r="A18" s="85">
        <f t="shared" si="5"/>
        <v>18</v>
      </c>
      <c r="B18" s="86" t="str">
        <f t="shared" si="4"/>
        <v xml:space="preserve">   Total 5000 Payroll Expenses</v>
      </c>
      <c r="C18" s="46"/>
      <c r="D18" s="46"/>
      <c r="E18" s="46"/>
      <c r="F18" s="46"/>
      <c r="G18" s="46"/>
      <c r="H18" s="197" t="s">
        <v>194</v>
      </c>
      <c r="I18" s="200">
        <f>(((I11)+(I12))+(I16))+(I17)</f>
        <v>139530.57</v>
      </c>
      <c r="J18" s="200">
        <f>(((J11)+(J12))+(J16))+(J17)</f>
        <v>3100.66</v>
      </c>
      <c r="K18" s="200">
        <f>(((K11)+(K12))+(K16))+(K17)</f>
        <v>14379.359999999999</v>
      </c>
      <c r="L18" s="200">
        <f t="shared" si="6"/>
        <v>157010.59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ht="14.25">
      <c r="A19" s="85">
        <f t="shared" si="5"/>
        <v>19</v>
      </c>
      <c r="B19" s="86" t="str">
        <f t="shared" si="4"/>
        <v xml:space="preserve">   6100 Occupancy</v>
      </c>
      <c r="C19" s="46"/>
      <c r="D19" s="46"/>
      <c r="E19" s="46"/>
      <c r="F19" s="46"/>
      <c r="G19" s="46"/>
      <c r="H19" s="197" t="s">
        <v>122</v>
      </c>
      <c r="I19" s="198"/>
      <c r="J19" s="198"/>
      <c r="K19" s="198"/>
      <c r="L19" s="199">
        <f t="shared" si="6"/>
        <v>0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ht="14.25">
      <c r="A20" s="85">
        <f t="shared" si="5"/>
        <v>20</v>
      </c>
      <c r="B20" s="86" t="str">
        <f t="shared" si="4"/>
        <v xml:space="preserve">      6110 Rent</v>
      </c>
      <c r="C20" s="46"/>
      <c r="D20" s="46"/>
      <c r="E20" s="46"/>
      <c r="F20" s="46"/>
      <c r="G20" s="46"/>
      <c r="H20" s="197" t="s">
        <v>123</v>
      </c>
      <c r="I20" s="199">
        <f>12960</f>
        <v>12960</v>
      </c>
      <c r="J20" s="199">
        <f>288</f>
        <v>288</v>
      </c>
      <c r="K20" s="199">
        <f>1152</f>
        <v>1152</v>
      </c>
      <c r="L20" s="199">
        <f t="shared" si="6"/>
        <v>14400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ht="14.25">
      <c r="A21" s="85">
        <f t="shared" si="5"/>
        <v>21</v>
      </c>
      <c r="B21" s="86" t="str">
        <f t="shared" si="4"/>
        <v xml:space="preserve">      6130 Telephone, Telecommunications</v>
      </c>
      <c r="C21" s="46"/>
      <c r="D21" s="46"/>
      <c r="E21" s="46"/>
      <c r="F21" s="46"/>
      <c r="G21" s="46"/>
      <c r="H21" s="197" t="s">
        <v>124</v>
      </c>
      <c r="I21" s="198"/>
      <c r="J21" s="198"/>
      <c r="K21" s="199">
        <f>968.49</f>
        <v>968.49</v>
      </c>
      <c r="L21" s="199">
        <f t="shared" si="6"/>
        <v>968.49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ht="14.25">
      <c r="A22" s="85">
        <f t="shared" si="5"/>
        <v>22</v>
      </c>
      <c r="B22" s="86" t="str">
        <f t="shared" si="4"/>
        <v xml:space="preserve">   Total 6100 Occupancy</v>
      </c>
      <c r="C22" s="46"/>
      <c r="D22" s="46"/>
      <c r="E22" s="46"/>
      <c r="F22" s="46"/>
      <c r="G22" s="46"/>
      <c r="H22" s="197" t="s">
        <v>89</v>
      </c>
      <c r="I22" s="200">
        <f>((I19)+(I20))+(I21)</f>
        <v>12960</v>
      </c>
      <c r="J22" s="200">
        <f>((J19)+(J20))+(J21)</f>
        <v>288</v>
      </c>
      <c r="K22" s="200">
        <f>((K19)+(K20))+(K21)</f>
        <v>2120.4899999999998</v>
      </c>
      <c r="L22" s="200">
        <f t="shared" si="6"/>
        <v>15368.49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4.25">
      <c r="A23" s="85">
        <f t="shared" si="5"/>
        <v>23</v>
      </c>
      <c r="B23" s="86" t="str">
        <f t="shared" si="4"/>
        <v xml:space="preserve">   6200 Business Insurance</v>
      </c>
      <c r="C23" s="46"/>
      <c r="D23" s="46"/>
      <c r="E23" s="46"/>
      <c r="F23" s="46"/>
      <c r="G23" s="46"/>
      <c r="H23" s="197" t="s">
        <v>125</v>
      </c>
      <c r="I23" s="198"/>
      <c r="J23" s="198"/>
      <c r="K23" s="198"/>
      <c r="L23" s="199">
        <f t="shared" si="6"/>
        <v>0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4.25">
      <c r="A24" s="85">
        <f t="shared" si="5"/>
        <v>24</v>
      </c>
      <c r="B24" s="86" t="str">
        <f t="shared" si="4"/>
        <v xml:space="preserve">      6220 D&amp;O</v>
      </c>
      <c r="C24" s="46"/>
      <c r="D24" s="46"/>
      <c r="E24" s="46"/>
      <c r="F24" s="46"/>
      <c r="G24" s="46"/>
      <c r="H24" s="197" t="s">
        <v>126</v>
      </c>
      <c r="I24" s="198"/>
      <c r="J24" s="198"/>
      <c r="K24" s="199">
        <f>878</f>
        <v>878</v>
      </c>
      <c r="L24" s="199">
        <f t="shared" si="6"/>
        <v>878</v>
      </c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4.25">
      <c r="A25" s="85">
        <f t="shared" si="5"/>
        <v>25</v>
      </c>
      <c r="B25" s="86" t="str">
        <f t="shared" si="4"/>
        <v xml:space="preserve">   Total 6200 Business Insurance</v>
      </c>
      <c r="C25" s="46"/>
      <c r="D25" s="46"/>
      <c r="E25" s="46"/>
      <c r="F25" s="46"/>
      <c r="G25" s="46"/>
      <c r="H25" s="197" t="s">
        <v>91</v>
      </c>
      <c r="I25" s="200">
        <f>(I23)+(I24)</f>
        <v>0</v>
      </c>
      <c r="J25" s="200">
        <f>(J23)+(J24)</f>
        <v>0</v>
      </c>
      <c r="K25" s="200">
        <f>(K23)+(K24)</f>
        <v>878</v>
      </c>
      <c r="L25" s="200">
        <f t="shared" si="6"/>
        <v>878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4.25">
      <c r="A26" s="85">
        <f t="shared" si="5"/>
        <v>26</v>
      </c>
      <c r="B26" s="86" t="str">
        <f t="shared" si="4"/>
        <v xml:space="preserve">   6300 Consulting</v>
      </c>
      <c r="C26" s="46"/>
      <c r="D26" s="46"/>
      <c r="E26" s="46"/>
      <c r="F26" s="46"/>
      <c r="G26" s="46"/>
      <c r="H26" s="197" t="s">
        <v>127</v>
      </c>
      <c r="I26" s="198"/>
      <c r="J26" s="198"/>
      <c r="K26" s="198"/>
      <c r="L26" s="199">
        <f t="shared" si="6"/>
        <v>0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ht="14.25">
      <c r="A27" s="85">
        <f t="shared" si="5"/>
        <v>27</v>
      </c>
      <c r="B27" s="86" t="str">
        <f t="shared" si="4"/>
        <v xml:space="preserve">      6310 Auditor Fees</v>
      </c>
      <c r="C27" s="46"/>
      <c r="D27" s="46"/>
      <c r="E27" s="46"/>
      <c r="F27" s="46"/>
      <c r="G27" s="46"/>
      <c r="H27" s="197" t="s">
        <v>255</v>
      </c>
      <c r="I27" s="198"/>
      <c r="J27" s="198"/>
      <c r="K27" s="199">
        <f>50</f>
        <v>50</v>
      </c>
      <c r="L27" s="199">
        <f t="shared" si="6"/>
        <v>50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ht="14.25">
      <c r="A28" s="85">
        <f t="shared" si="5"/>
        <v>28</v>
      </c>
      <c r="B28" s="86" t="str">
        <f t="shared" si="4"/>
        <v xml:space="preserve">      6330 Accounting Fees</v>
      </c>
      <c r="C28" s="46"/>
      <c r="D28" s="46"/>
      <c r="E28" s="46"/>
      <c r="F28" s="46"/>
      <c r="G28" s="46"/>
      <c r="H28" s="197" t="s">
        <v>195</v>
      </c>
      <c r="I28" s="198"/>
      <c r="J28" s="198"/>
      <c r="K28" s="199">
        <f>6825</f>
        <v>6825</v>
      </c>
      <c r="L28" s="199">
        <f t="shared" si="6"/>
        <v>6825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ht="14.25">
      <c r="A29" s="85">
        <f t="shared" si="5"/>
        <v>29</v>
      </c>
      <c r="B29" s="86" t="str">
        <f t="shared" si="4"/>
        <v xml:space="preserve">   Total 6300 Consulting</v>
      </c>
      <c r="C29" s="46"/>
      <c r="D29" s="46"/>
      <c r="E29" s="46"/>
      <c r="F29" s="46"/>
      <c r="G29" s="46"/>
      <c r="H29" s="197" t="s">
        <v>93</v>
      </c>
      <c r="I29" s="200">
        <f>((I26)+(I27))+(I28)</f>
        <v>0</v>
      </c>
      <c r="J29" s="200">
        <f>((J26)+(J27))+(J28)</f>
        <v>0</v>
      </c>
      <c r="K29" s="200">
        <f>((K26)+(K27))+(K28)</f>
        <v>6875</v>
      </c>
      <c r="L29" s="200">
        <f t="shared" si="6"/>
        <v>6875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ht="14.25">
      <c r="A30" s="85">
        <f t="shared" si="5"/>
        <v>30</v>
      </c>
      <c r="B30" s="86" t="str">
        <f t="shared" si="4"/>
        <v xml:space="preserve">   6400 Office Expenses</v>
      </c>
      <c r="C30" s="46"/>
      <c r="D30" s="46"/>
      <c r="E30" s="46"/>
      <c r="F30" s="46"/>
      <c r="G30" s="46"/>
      <c r="H30" s="197" t="s">
        <v>128</v>
      </c>
      <c r="I30" s="198"/>
      <c r="J30" s="198"/>
      <c r="K30" s="198"/>
      <c r="L30" s="199">
        <f t="shared" si="6"/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ht="14.25">
      <c r="A31" s="85">
        <f t="shared" si="5"/>
        <v>31</v>
      </c>
      <c r="B31" s="86" t="str">
        <f t="shared" si="4"/>
        <v xml:space="preserve">      6410 Office Supplies</v>
      </c>
      <c r="C31" s="46"/>
      <c r="D31" s="46"/>
      <c r="E31" s="46"/>
      <c r="F31" s="46"/>
      <c r="G31" s="46"/>
      <c r="H31" s="197" t="s">
        <v>129</v>
      </c>
      <c r="I31" s="198"/>
      <c r="J31" s="198"/>
      <c r="K31" s="199">
        <f>19.61</f>
        <v>19.61</v>
      </c>
      <c r="L31" s="199">
        <f t="shared" si="6"/>
        <v>19.61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ht="14.25">
      <c r="A32" s="85">
        <f t="shared" si="5"/>
        <v>32</v>
      </c>
      <c r="B32" s="86" t="str">
        <f t="shared" si="4"/>
        <v xml:space="preserve">      6420 Postage &amp; Mailing</v>
      </c>
      <c r="C32" s="46"/>
      <c r="D32" s="46"/>
      <c r="E32" s="46"/>
      <c r="F32" s="46"/>
      <c r="G32" s="46"/>
      <c r="H32" s="197" t="s">
        <v>196</v>
      </c>
      <c r="I32" s="198"/>
      <c r="J32" s="198"/>
      <c r="K32" s="199">
        <f>34.48</f>
        <v>34.479999999999997</v>
      </c>
      <c r="L32" s="199">
        <f t="shared" si="6"/>
        <v>34.479999999999997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ht="14.25">
      <c r="A33" s="85">
        <f t="shared" si="5"/>
        <v>33</v>
      </c>
      <c r="B33" s="86" t="str">
        <f t="shared" si="4"/>
        <v xml:space="preserve">      6440 Dues &amp; Subscriptions</v>
      </c>
      <c r="C33" s="46"/>
      <c r="D33" s="46"/>
      <c r="E33" s="46"/>
      <c r="F33" s="46"/>
      <c r="G33" s="46"/>
      <c r="H33" s="197" t="s">
        <v>130</v>
      </c>
      <c r="I33" s="199">
        <f>317.79</f>
        <v>317.79000000000002</v>
      </c>
      <c r="J33" s="198"/>
      <c r="K33" s="199">
        <f>99</f>
        <v>99</v>
      </c>
      <c r="L33" s="199">
        <f t="shared" si="6"/>
        <v>416.79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ht="14.25">
      <c r="A34" s="85">
        <f t="shared" si="5"/>
        <v>34</v>
      </c>
      <c r="B34" s="86" t="str">
        <f t="shared" si="4"/>
        <v xml:space="preserve">      6450 Payroll Service Fees</v>
      </c>
      <c r="C34" s="46"/>
      <c r="D34" s="46"/>
      <c r="E34" s="46"/>
      <c r="F34" s="46"/>
      <c r="G34" s="46"/>
      <c r="H34" s="197" t="s">
        <v>229</v>
      </c>
      <c r="I34" s="198"/>
      <c r="J34" s="198"/>
      <c r="K34" s="199">
        <f>539.01</f>
        <v>539.01</v>
      </c>
      <c r="L34" s="199">
        <f t="shared" si="6"/>
        <v>539.01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ht="14.25">
      <c r="A35" s="85">
        <f t="shared" si="5"/>
        <v>35</v>
      </c>
      <c r="B35" s="86" t="str">
        <f t="shared" ref="B35:B66" si="7">C35&amp;D35&amp;E35&amp;F35&amp;G35&amp;H35</f>
        <v xml:space="preserve">      6460 Bank Fees</v>
      </c>
      <c r="C35" s="46"/>
      <c r="D35" s="46"/>
      <c r="E35" s="46"/>
      <c r="F35" s="46"/>
      <c r="G35" s="46"/>
      <c r="H35" s="197" t="s">
        <v>131</v>
      </c>
      <c r="I35" s="198"/>
      <c r="J35" s="198"/>
      <c r="K35" s="199">
        <f>383.6</f>
        <v>383.6</v>
      </c>
      <c r="L35" s="199">
        <f t="shared" si="6"/>
        <v>383.6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ht="14.25">
      <c r="A36" s="85">
        <f t="shared" si="5"/>
        <v>36</v>
      </c>
      <c r="B36" s="86" t="str">
        <f t="shared" si="7"/>
        <v xml:space="preserve">      6470 Filing Fees</v>
      </c>
      <c r="C36" s="46"/>
      <c r="D36" s="46"/>
      <c r="E36" s="46"/>
      <c r="F36" s="46"/>
      <c r="G36" s="46"/>
      <c r="H36" s="197" t="s">
        <v>311</v>
      </c>
      <c r="I36" s="198"/>
      <c r="J36" s="198"/>
      <c r="K36" s="199">
        <f>75</f>
        <v>75</v>
      </c>
      <c r="L36" s="199">
        <f t="shared" si="6"/>
        <v>75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ht="14.25">
      <c r="A37" s="85">
        <f t="shared" si="5"/>
        <v>37</v>
      </c>
      <c r="B37" s="86" t="str">
        <f t="shared" si="7"/>
        <v xml:space="preserve">   Total 6400 Office Expenses</v>
      </c>
      <c r="C37" s="46"/>
      <c r="D37" s="46"/>
      <c r="E37" s="46"/>
      <c r="F37" s="46"/>
      <c r="G37" s="46"/>
      <c r="H37" s="197" t="s">
        <v>95</v>
      </c>
      <c r="I37" s="200">
        <f>((((((I30)+(I31))+(I32))+(I33))+(I34))+(I35))+(I36)</f>
        <v>317.79000000000002</v>
      </c>
      <c r="J37" s="200">
        <f>((((((J30)+(J31))+(J32))+(J33))+(J34))+(J35))+(J36)</f>
        <v>0</v>
      </c>
      <c r="K37" s="200">
        <f>((((((K30)+(K31))+(K32))+(K33))+(K34))+(K35))+(K36)</f>
        <v>1150.7</v>
      </c>
      <c r="L37" s="200">
        <f t="shared" si="6"/>
        <v>1468.49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ht="14.25">
      <c r="A38" s="85">
        <f t="shared" si="5"/>
        <v>38</v>
      </c>
      <c r="B38" s="86" t="str">
        <f t="shared" si="7"/>
        <v xml:space="preserve">   7100 Conferences</v>
      </c>
      <c r="C38" s="46"/>
      <c r="D38" s="46"/>
      <c r="E38" s="46"/>
      <c r="F38" s="46"/>
      <c r="G38" s="46"/>
      <c r="H38" s="197" t="s">
        <v>96</v>
      </c>
      <c r="I38" s="199">
        <f>265.5</f>
        <v>265.5</v>
      </c>
      <c r="J38" s="199">
        <f>29.5</f>
        <v>29.5</v>
      </c>
      <c r="K38" s="198"/>
      <c r="L38" s="199">
        <f t="shared" si="6"/>
        <v>295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ht="14.25">
      <c r="A39" s="85">
        <f t="shared" si="5"/>
        <v>39</v>
      </c>
      <c r="B39" s="86" t="str">
        <f t="shared" si="7"/>
        <v xml:space="preserve">   7300 Travel</v>
      </c>
      <c r="C39" s="46"/>
      <c r="D39" s="46"/>
      <c r="E39" s="46"/>
      <c r="F39" s="46"/>
      <c r="G39" s="46"/>
      <c r="H39" s="197" t="s">
        <v>98</v>
      </c>
      <c r="I39" s="199">
        <f>3382.67</f>
        <v>3382.67</v>
      </c>
      <c r="J39" s="199">
        <f>154.64</f>
        <v>154.63999999999999</v>
      </c>
      <c r="K39" s="198"/>
      <c r="L39" s="199">
        <f t="shared" si="6"/>
        <v>3537.31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ht="14.25">
      <c r="A40" s="85">
        <f t="shared" si="5"/>
        <v>40</v>
      </c>
      <c r="B40" s="86" t="str">
        <f t="shared" si="7"/>
        <v xml:space="preserve">   7400 Advertising &amp; Promotions</v>
      </c>
      <c r="C40" s="46"/>
      <c r="D40" s="46"/>
      <c r="E40" s="46"/>
      <c r="F40" s="46"/>
      <c r="G40" s="46"/>
      <c r="H40" s="197" t="s">
        <v>100</v>
      </c>
      <c r="I40" s="199">
        <f>1702.19</f>
        <v>1702.19</v>
      </c>
      <c r="J40" s="199">
        <f>629.8</f>
        <v>629.79999999999995</v>
      </c>
      <c r="K40" s="198"/>
      <c r="L40" s="199">
        <f t="shared" si="6"/>
        <v>2331.9899999999998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8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ht="14.25">
      <c r="A41" s="85">
        <f t="shared" si="5"/>
        <v>41</v>
      </c>
      <c r="B41" s="86" t="str">
        <f t="shared" si="7"/>
        <v xml:space="preserve">   7500 Website &amp; IT Support</v>
      </c>
      <c r="C41" s="46"/>
      <c r="D41" s="46"/>
      <c r="E41" s="46"/>
      <c r="F41" s="46"/>
      <c r="G41" s="46"/>
      <c r="H41" s="197" t="s">
        <v>101</v>
      </c>
      <c r="I41" s="199">
        <f>21019.08</f>
        <v>21019.08</v>
      </c>
      <c r="J41" s="198"/>
      <c r="K41" s="198"/>
      <c r="L41" s="199">
        <f t="shared" si="6"/>
        <v>21019.08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8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ht="14.25">
      <c r="A42" s="85">
        <f t="shared" si="5"/>
        <v>42</v>
      </c>
      <c r="B42" s="86" t="str">
        <f t="shared" si="7"/>
        <v xml:space="preserve">   7600 Program Supplies &amp; Materials</v>
      </c>
      <c r="C42" s="46"/>
      <c r="D42" s="46"/>
      <c r="E42" s="46"/>
      <c r="F42" s="46"/>
      <c r="G42" s="46"/>
      <c r="H42" s="197" t="s">
        <v>102</v>
      </c>
      <c r="I42" s="199">
        <f>309.48</f>
        <v>309.48</v>
      </c>
      <c r="J42" s="198"/>
      <c r="K42" s="198"/>
      <c r="L42" s="199">
        <f t="shared" si="6"/>
        <v>309.48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8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4.25">
      <c r="A43" s="85">
        <f t="shared" si="5"/>
        <v>43</v>
      </c>
      <c r="B43" s="86" t="str">
        <f t="shared" si="7"/>
        <v xml:space="preserve">   7800 Meals &amp; Entertainment</v>
      </c>
      <c r="C43" s="46"/>
      <c r="D43" s="46"/>
      <c r="E43" s="46"/>
      <c r="F43" s="46"/>
      <c r="G43" s="46"/>
      <c r="H43" s="197" t="s">
        <v>223</v>
      </c>
      <c r="I43" s="199">
        <f>103.88</f>
        <v>103.88</v>
      </c>
      <c r="J43" s="198"/>
      <c r="K43" s="199">
        <f>74.39</f>
        <v>74.39</v>
      </c>
      <c r="L43" s="199">
        <f t="shared" si="6"/>
        <v>178.26999999999998</v>
      </c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8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ht="14.25">
      <c r="A44" s="85">
        <f t="shared" si="5"/>
        <v>44</v>
      </c>
      <c r="B44" s="86" t="str">
        <f t="shared" si="7"/>
        <v>Total Expenditures</v>
      </c>
      <c r="C44" s="46"/>
      <c r="D44" s="46"/>
      <c r="E44" s="46"/>
      <c r="F44" s="46"/>
      <c r="G44" s="46"/>
      <c r="H44" s="197" t="s">
        <v>57</v>
      </c>
      <c r="I44" s="200">
        <f>((((((((((I18)+(I22))+(I25))+(I29))+(I37))+(I38))+(I39))+(I40))+(I41))+(I42))+(I43)</f>
        <v>179591.16000000006</v>
      </c>
      <c r="J44" s="200">
        <f>((((((((((J18)+(J22))+(J25))+(J29))+(J37))+(J38))+(J39))+(J40))+(J41))+(J42))+(J43)</f>
        <v>4202.5999999999995</v>
      </c>
      <c r="K44" s="200">
        <f>((((((((((K18)+(K22))+(K25))+(K29))+(K37))+(K38))+(K39))+(K40))+(K41))+(K42))+(K43)</f>
        <v>25477.94</v>
      </c>
      <c r="L44" s="200">
        <f t="shared" si="6"/>
        <v>209271.70000000007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8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ht="14.25">
      <c r="A45" s="85">
        <f t="shared" si="5"/>
        <v>45</v>
      </c>
      <c r="B45" s="86" t="str">
        <f t="shared" si="7"/>
        <v>Net Operating Revenue</v>
      </c>
      <c r="C45" s="46"/>
      <c r="D45" s="46"/>
      <c r="E45" s="46"/>
      <c r="F45" s="46"/>
      <c r="G45" s="46"/>
      <c r="H45" s="197" t="s">
        <v>132</v>
      </c>
      <c r="I45" s="200">
        <f>(I9)-(I44)</f>
        <v>-179591.16000000006</v>
      </c>
      <c r="J45" s="200">
        <f>(J9)-(J44)</f>
        <v>-4202.5999999999995</v>
      </c>
      <c r="K45" s="200">
        <f>(K9)-(K44)</f>
        <v>16428.190000000006</v>
      </c>
      <c r="L45" s="200">
        <f t="shared" si="6"/>
        <v>-167365.57000000007</v>
      </c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8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ht="14.25">
      <c r="A46" s="85">
        <f t="shared" si="5"/>
        <v>46</v>
      </c>
      <c r="B46" s="86" t="str">
        <f t="shared" si="7"/>
        <v>Other Expenditures</v>
      </c>
      <c r="C46" s="46"/>
      <c r="D46" s="46"/>
      <c r="E46" s="46"/>
      <c r="F46" s="46"/>
      <c r="G46" s="46"/>
      <c r="H46" s="197" t="s">
        <v>350</v>
      </c>
      <c r="I46" s="198"/>
      <c r="J46" s="198"/>
      <c r="K46" s="198"/>
      <c r="L46" s="198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8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4.25">
      <c r="A47" s="85">
        <f t="shared" si="5"/>
        <v>47</v>
      </c>
      <c r="B47" s="86" t="str">
        <f t="shared" si="7"/>
        <v xml:space="preserve">   8000 Depreciation Expenses</v>
      </c>
      <c r="C47" s="46"/>
      <c r="D47" s="46"/>
      <c r="E47" s="46"/>
      <c r="F47" s="46"/>
      <c r="G47" s="46"/>
      <c r="H47" s="197" t="s">
        <v>219</v>
      </c>
      <c r="I47" s="199">
        <f>7515.8</f>
        <v>7515.8</v>
      </c>
      <c r="J47" s="198"/>
      <c r="K47" s="198"/>
      <c r="L47" s="199">
        <f>((I47)+(J47))+(K47)</f>
        <v>7515.8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ht="14.25">
      <c r="A48" s="85">
        <f t="shared" si="5"/>
        <v>48</v>
      </c>
      <c r="B48" s="86" t="str">
        <f t="shared" si="7"/>
        <v>Total Other Expenditures</v>
      </c>
      <c r="C48" s="46"/>
      <c r="D48" s="46"/>
      <c r="E48" s="46"/>
      <c r="F48" s="46"/>
      <c r="G48" s="46"/>
      <c r="H48" s="197" t="s">
        <v>351</v>
      </c>
      <c r="I48" s="200">
        <f>I47</f>
        <v>7515.8</v>
      </c>
      <c r="J48" s="200">
        <f>J47</f>
        <v>0</v>
      </c>
      <c r="K48" s="200">
        <f>K47</f>
        <v>0</v>
      </c>
      <c r="L48" s="200">
        <f>((I48)+(J48))+(K48)</f>
        <v>7515.8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ht="14.25">
      <c r="A49" s="85">
        <f t="shared" si="5"/>
        <v>49</v>
      </c>
      <c r="B49" s="86" t="str">
        <f t="shared" si="7"/>
        <v>Net Other Revenue</v>
      </c>
      <c r="C49" s="46"/>
      <c r="D49" s="46"/>
      <c r="E49" s="46"/>
      <c r="F49" s="46"/>
      <c r="G49" s="46"/>
      <c r="H49" s="197" t="s">
        <v>352</v>
      </c>
      <c r="I49" s="200">
        <f>(0)-(I48)</f>
        <v>-7515.8</v>
      </c>
      <c r="J49" s="200">
        <f>(0)-(J48)</f>
        <v>0</v>
      </c>
      <c r="K49" s="200">
        <f>(0)-(K48)</f>
        <v>0</v>
      </c>
      <c r="L49" s="200">
        <f>((I49)+(J49))+(K49)</f>
        <v>-7515.8</v>
      </c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8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ht="14.25">
      <c r="A50" s="85">
        <f t="shared" si="5"/>
        <v>50</v>
      </c>
      <c r="B50" s="86" t="str">
        <f t="shared" si="7"/>
        <v>Net Revenue</v>
      </c>
      <c r="C50" s="46"/>
      <c r="D50" s="46"/>
      <c r="E50" s="46"/>
      <c r="F50" s="46"/>
      <c r="G50" s="46"/>
      <c r="H50" s="197" t="s">
        <v>66</v>
      </c>
      <c r="I50" s="200">
        <f>(I45)+(I49)</f>
        <v>-187106.96000000005</v>
      </c>
      <c r="J50" s="200">
        <f>(J45)+(J49)</f>
        <v>-4202.5999999999995</v>
      </c>
      <c r="K50" s="200">
        <f>(K45)+(K49)</f>
        <v>16428.190000000006</v>
      </c>
      <c r="L50" s="200">
        <f>((I50)+(J50))+(K50)</f>
        <v>-174881.37000000005</v>
      </c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8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ht="14.25">
      <c r="A51" s="85">
        <f t="shared" si="5"/>
        <v>51</v>
      </c>
      <c r="B51" s="86" t="str">
        <f t="shared" si="7"/>
        <v/>
      </c>
      <c r="C51" s="46"/>
      <c r="D51" s="46"/>
      <c r="E51" s="46"/>
      <c r="F51" s="46"/>
      <c r="G51" s="46"/>
      <c r="H51" s="140"/>
      <c r="I51" s="143"/>
      <c r="J51" s="143"/>
      <c r="K51" s="143"/>
      <c r="L51" s="143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8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ht="14.25">
      <c r="A52" s="85">
        <f t="shared" si="5"/>
        <v>52</v>
      </c>
      <c r="B52" s="86" t="str">
        <f t="shared" si="7"/>
        <v/>
      </c>
      <c r="C52" s="46"/>
      <c r="D52" s="46"/>
      <c r="E52" s="46"/>
      <c r="F52" s="46"/>
      <c r="G52" s="46"/>
      <c r="H52" s="140"/>
      <c r="I52" s="143"/>
      <c r="J52" s="143"/>
      <c r="K52" s="143"/>
      <c r="L52" s="143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ht="14.25">
      <c r="A53" s="85">
        <f t="shared" si="5"/>
        <v>53</v>
      </c>
      <c r="B53" s="86" t="str">
        <f t="shared" si="7"/>
        <v/>
      </c>
      <c r="C53" s="46"/>
      <c r="D53" s="46"/>
      <c r="E53" s="46"/>
      <c r="F53" s="46"/>
      <c r="G53" s="46"/>
      <c r="H53" s="46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8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ht="14.25">
      <c r="A54" s="85">
        <f t="shared" si="5"/>
        <v>54</v>
      </c>
      <c r="B54" s="86" t="str">
        <f t="shared" si="7"/>
        <v/>
      </c>
      <c r="C54" s="46"/>
      <c r="D54" s="46"/>
      <c r="E54" s="46"/>
      <c r="F54" s="46"/>
      <c r="G54" s="46"/>
      <c r="H54" s="4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8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ht="14.25">
      <c r="A55" s="85">
        <f t="shared" si="5"/>
        <v>55</v>
      </c>
      <c r="B55" s="86" t="str">
        <f t="shared" si="7"/>
        <v/>
      </c>
      <c r="C55" s="46"/>
      <c r="D55" s="46"/>
      <c r="E55" s="46"/>
      <c r="F55" s="46"/>
      <c r="G55" s="46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8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ht="14.25">
      <c r="A56" s="85">
        <f t="shared" si="5"/>
        <v>56</v>
      </c>
      <c r="B56" s="86" t="str">
        <f t="shared" si="7"/>
        <v/>
      </c>
      <c r="C56" s="46"/>
      <c r="D56" s="46"/>
      <c r="E56" s="46"/>
      <c r="F56" s="46"/>
      <c r="G56" s="46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8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ht="14.25">
      <c r="A57" s="85">
        <f t="shared" si="5"/>
        <v>57</v>
      </c>
      <c r="B57" s="86" t="str">
        <f t="shared" si="7"/>
        <v/>
      </c>
      <c r="C57" s="46"/>
      <c r="D57" s="46"/>
      <c r="E57" s="46"/>
      <c r="F57" s="46"/>
      <c r="G57" s="46"/>
      <c r="H57" s="46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8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ht="14.25">
      <c r="A58" s="85">
        <f t="shared" si="5"/>
        <v>58</v>
      </c>
      <c r="B58" s="86" t="str">
        <f t="shared" si="7"/>
        <v/>
      </c>
      <c r="C58" s="46"/>
      <c r="D58" s="46"/>
      <c r="E58" s="46"/>
      <c r="F58" s="46"/>
      <c r="G58" s="46"/>
      <c r="H58" s="46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ht="14.25">
      <c r="A59" s="85">
        <f t="shared" si="5"/>
        <v>59</v>
      </c>
      <c r="B59" s="86" t="str">
        <f t="shared" si="7"/>
        <v/>
      </c>
      <c r="C59" s="46"/>
      <c r="D59" s="46"/>
      <c r="E59" s="46"/>
      <c r="F59" s="46"/>
      <c r="G59" s="46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ht="14.25">
      <c r="A60" s="85">
        <f t="shared" si="5"/>
        <v>60</v>
      </c>
      <c r="B60" s="86" t="str">
        <f t="shared" si="7"/>
        <v/>
      </c>
      <c r="C60" s="46"/>
      <c r="D60" s="46"/>
      <c r="E60" s="46"/>
      <c r="F60" s="46"/>
      <c r="G60" s="46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ht="14.25">
      <c r="A61" s="85">
        <f t="shared" si="5"/>
        <v>61</v>
      </c>
      <c r="B61" s="86" t="str">
        <f t="shared" si="7"/>
        <v/>
      </c>
      <c r="C61" s="46"/>
      <c r="D61" s="46"/>
      <c r="E61" s="46"/>
      <c r="F61" s="46"/>
      <c r="G61" s="46"/>
      <c r="H61" s="4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8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ht="14.25">
      <c r="A62" s="85">
        <f t="shared" si="5"/>
        <v>62</v>
      </c>
      <c r="B62" s="86" t="str">
        <f t="shared" si="7"/>
        <v/>
      </c>
      <c r="C62" s="46"/>
      <c r="D62" s="46"/>
      <c r="E62" s="46"/>
      <c r="F62" s="46"/>
      <c r="G62" s="46"/>
      <c r="H62" s="46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ht="14.25">
      <c r="A63" s="85">
        <f t="shared" si="5"/>
        <v>63</v>
      </c>
      <c r="B63" s="86" t="str">
        <f t="shared" si="7"/>
        <v/>
      </c>
      <c r="C63" s="46"/>
      <c r="D63" s="46"/>
      <c r="E63" s="46"/>
      <c r="F63" s="46"/>
      <c r="G63" s="46"/>
      <c r="H63" s="46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8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ht="14.25">
      <c r="A64" s="85">
        <f t="shared" si="5"/>
        <v>64</v>
      </c>
      <c r="B64" s="86" t="str">
        <f t="shared" si="7"/>
        <v/>
      </c>
      <c r="C64" s="46"/>
      <c r="D64" s="46"/>
      <c r="E64" s="46"/>
      <c r="F64" s="46"/>
      <c r="G64" s="46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8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ht="14.25">
      <c r="A65" s="85">
        <f t="shared" si="5"/>
        <v>65</v>
      </c>
      <c r="B65" s="86" t="str">
        <f t="shared" si="7"/>
        <v/>
      </c>
      <c r="C65" s="46"/>
      <c r="D65" s="46"/>
      <c r="E65" s="46"/>
      <c r="F65" s="46"/>
      <c r="G65" s="46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8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ht="14.25">
      <c r="A66" s="85">
        <f t="shared" si="5"/>
        <v>66</v>
      </c>
      <c r="B66" s="86" t="str">
        <f t="shared" si="7"/>
        <v/>
      </c>
      <c r="C66" s="46"/>
      <c r="D66" s="46"/>
      <c r="E66" s="46"/>
      <c r="F66" s="46"/>
      <c r="G66" s="46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8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ht="14.25">
      <c r="A67" s="85">
        <f t="shared" si="5"/>
        <v>67</v>
      </c>
      <c r="B67" s="86" t="str">
        <f t="shared" ref="B67:B98" si="8">C67&amp;D67&amp;E67&amp;F67&amp;G67&amp;H67</f>
        <v/>
      </c>
      <c r="C67" s="46"/>
      <c r="D67" s="46"/>
      <c r="E67" s="46"/>
      <c r="F67" s="46"/>
      <c r="G67" s="46"/>
      <c r="H67" s="46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8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ht="14.25">
      <c r="A68" s="85">
        <f t="shared" ref="A68:A131" si="9">A67+1</f>
        <v>68</v>
      </c>
      <c r="B68" s="86" t="str">
        <f t="shared" si="8"/>
        <v/>
      </c>
      <c r="C68" s="46"/>
      <c r="D68" s="46"/>
      <c r="E68" s="46"/>
      <c r="F68" s="46"/>
      <c r="G68" s="46"/>
      <c r="H68" s="46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ht="14.25">
      <c r="A69" s="85">
        <f t="shared" si="9"/>
        <v>69</v>
      </c>
      <c r="B69" s="86" t="str">
        <f t="shared" si="8"/>
        <v/>
      </c>
      <c r="C69" s="46"/>
      <c r="D69" s="46"/>
      <c r="E69" s="46"/>
      <c r="F69" s="46"/>
      <c r="G69" s="46"/>
      <c r="H69" s="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8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ht="14.25">
      <c r="A70" s="85">
        <f t="shared" si="9"/>
        <v>70</v>
      </c>
      <c r="B70" s="86" t="str">
        <f t="shared" si="8"/>
        <v/>
      </c>
      <c r="C70" s="46"/>
      <c r="D70" s="46"/>
      <c r="E70" s="46"/>
      <c r="F70" s="46"/>
      <c r="G70" s="46"/>
      <c r="H70" s="46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8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ht="14.25">
      <c r="A71" s="85">
        <f t="shared" si="9"/>
        <v>71</v>
      </c>
      <c r="B71" s="86" t="str">
        <f t="shared" si="8"/>
        <v/>
      </c>
      <c r="C71" s="46"/>
      <c r="D71" s="46"/>
      <c r="E71" s="46"/>
      <c r="F71" s="46"/>
      <c r="G71" s="46"/>
      <c r="H71" s="4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8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ht="14.25">
      <c r="A72" s="85">
        <f t="shared" si="9"/>
        <v>72</v>
      </c>
      <c r="B72" s="86" t="str">
        <f t="shared" si="8"/>
        <v/>
      </c>
      <c r="C72" s="46"/>
      <c r="D72" s="46"/>
      <c r="E72" s="46"/>
      <c r="F72" s="46"/>
      <c r="G72" s="46"/>
      <c r="H72" s="46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8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ht="14.25">
      <c r="A73" s="85">
        <f t="shared" si="9"/>
        <v>73</v>
      </c>
      <c r="B73" s="86" t="str">
        <f t="shared" si="8"/>
        <v/>
      </c>
      <c r="C73" s="46"/>
      <c r="D73" s="46"/>
      <c r="E73" s="46"/>
      <c r="F73" s="46"/>
      <c r="G73" s="46"/>
      <c r="H73" s="46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8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ht="14.25">
      <c r="A74" s="85">
        <f t="shared" si="9"/>
        <v>74</v>
      </c>
      <c r="B74" s="86" t="str">
        <f t="shared" si="8"/>
        <v/>
      </c>
      <c r="C74" s="46"/>
      <c r="D74" s="46"/>
      <c r="E74" s="46"/>
      <c r="F74" s="46"/>
      <c r="G74" s="46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8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ht="14.25">
      <c r="A75" s="85">
        <f t="shared" si="9"/>
        <v>75</v>
      </c>
      <c r="B75" s="86" t="str">
        <f t="shared" si="8"/>
        <v/>
      </c>
      <c r="C75" s="46"/>
      <c r="D75" s="46"/>
      <c r="E75" s="46"/>
      <c r="F75" s="46"/>
      <c r="G75" s="46"/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8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ht="14.25">
      <c r="A76" s="85">
        <f t="shared" si="9"/>
        <v>76</v>
      </c>
      <c r="B76" s="86" t="str">
        <f t="shared" si="8"/>
        <v/>
      </c>
      <c r="C76" s="46"/>
      <c r="D76" s="46"/>
      <c r="E76" s="46"/>
      <c r="F76" s="46"/>
      <c r="G76" s="46"/>
      <c r="H76" s="4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8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ht="14.25">
      <c r="A77" s="85">
        <f t="shared" si="9"/>
        <v>77</v>
      </c>
      <c r="B77" s="86" t="str">
        <f t="shared" si="8"/>
        <v/>
      </c>
      <c r="C77" s="46"/>
      <c r="D77" s="46"/>
      <c r="E77" s="46"/>
      <c r="F77" s="46"/>
      <c r="G77" s="46"/>
      <c r="H77" s="46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8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ht="14.25">
      <c r="A78" s="85">
        <f t="shared" si="9"/>
        <v>78</v>
      </c>
      <c r="B78" s="86" t="str">
        <f t="shared" si="8"/>
        <v/>
      </c>
      <c r="C78" s="46"/>
      <c r="D78" s="46"/>
      <c r="E78" s="46"/>
      <c r="F78" s="46"/>
      <c r="G78" s="46"/>
      <c r="H78" s="46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ht="14.25">
      <c r="A79" s="85">
        <f t="shared" si="9"/>
        <v>79</v>
      </c>
      <c r="B79" s="86" t="str">
        <f t="shared" si="8"/>
        <v/>
      </c>
      <c r="C79" s="46"/>
      <c r="D79" s="46"/>
      <c r="E79" s="46"/>
      <c r="F79" s="46"/>
      <c r="G79" s="46"/>
      <c r="H79" s="46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8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ht="14.25">
      <c r="A80" s="85">
        <f t="shared" si="9"/>
        <v>80</v>
      </c>
      <c r="B80" s="86" t="str">
        <f t="shared" si="8"/>
        <v/>
      </c>
      <c r="C80" s="46"/>
      <c r="D80" s="46"/>
      <c r="E80" s="46"/>
      <c r="F80" s="46"/>
      <c r="G80" s="46"/>
      <c r="H80" s="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8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ht="14.25">
      <c r="A81" s="85">
        <f t="shared" si="9"/>
        <v>81</v>
      </c>
      <c r="B81" s="86" t="str">
        <f t="shared" si="8"/>
        <v/>
      </c>
      <c r="C81" s="46"/>
      <c r="D81" s="46"/>
      <c r="E81" s="46"/>
      <c r="F81" s="46"/>
      <c r="G81" s="46"/>
      <c r="H81" s="4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8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ht="14.25">
      <c r="A82" s="85">
        <f t="shared" si="9"/>
        <v>82</v>
      </c>
      <c r="B82" s="86" t="str">
        <f t="shared" si="8"/>
        <v/>
      </c>
      <c r="C82" s="46"/>
      <c r="D82" s="46"/>
      <c r="E82" s="46"/>
      <c r="F82" s="46"/>
      <c r="G82" s="46"/>
      <c r="H82" s="46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4.25">
      <c r="A83" s="85">
        <f t="shared" si="9"/>
        <v>83</v>
      </c>
      <c r="B83" s="86" t="str">
        <f t="shared" si="8"/>
        <v/>
      </c>
      <c r="C83" s="46"/>
      <c r="D83" s="46"/>
      <c r="E83" s="46"/>
      <c r="F83" s="46"/>
      <c r="G83" s="46"/>
      <c r="H83" s="46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8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ht="14.25">
      <c r="A84" s="85">
        <f t="shared" si="9"/>
        <v>84</v>
      </c>
      <c r="B84" s="86" t="str">
        <f t="shared" si="8"/>
        <v/>
      </c>
      <c r="C84" s="46"/>
      <c r="D84" s="46"/>
      <c r="E84" s="46"/>
      <c r="F84" s="46"/>
      <c r="G84" s="46"/>
      <c r="H84" s="46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8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ht="14.25">
      <c r="A85" s="85">
        <f t="shared" si="9"/>
        <v>85</v>
      </c>
      <c r="B85" s="86" t="str">
        <f t="shared" si="8"/>
        <v/>
      </c>
      <c r="C85" s="46"/>
      <c r="D85" s="46"/>
      <c r="E85" s="46"/>
      <c r="F85" s="46"/>
      <c r="G85" s="46"/>
      <c r="H85" s="4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8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ht="14.25">
      <c r="A86" s="85">
        <f t="shared" si="9"/>
        <v>86</v>
      </c>
      <c r="B86" s="86" t="str">
        <f t="shared" si="8"/>
        <v/>
      </c>
      <c r="C86" s="46"/>
      <c r="D86" s="46"/>
      <c r="E86" s="46"/>
      <c r="F86" s="46"/>
      <c r="G86" s="46"/>
      <c r="H86" s="46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8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ht="14.25">
      <c r="A87" s="85">
        <f t="shared" si="9"/>
        <v>87</v>
      </c>
      <c r="B87" s="86" t="str">
        <f t="shared" si="8"/>
        <v/>
      </c>
      <c r="C87" s="46"/>
      <c r="D87" s="46"/>
      <c r="E87" s="46"/>
      <c r="F87" s="46"/>
      <c r="G87" s="46"/>
      <c r="H87" s="46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ht="14.25">
      <c r="A88" s="85">
        <f t="shared" si="9"/>
        <v>88</v>
      </c>
      <c r="B88" s="86" t="str">
        <f t="shared" si="8"/>
        <v/>
      </c>
      <c r="C88" s="46"/>
      <c r="D88" s="46"/>
      <c r="E88" s="46"/>
      <c r="F88" s="46"/>
      <c r="G88" s="46"/>
      <c r="H88" s="46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ht="14.25">
      <c r="A89" s="85">
        <f t="shared" si="9"/>
        <v>89</v>
      </c>
      <c r="B89" s="86" t="str">
        <f t="shared" si="8"/>
        <v/>
      </c>
      <c r="C89" s="46"/>
      <c r="D89" s="46"/>
      <c r="E89" s="46"/>
      <c r="F89" s="46"/>
      <c r="G89" s="46"/>
      <c r="H89" s="46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8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ht="14.25">
      <c r="A90" s="85">
        <f t="shared" si="9"/>
        <v>90</v>
      </c>
      <c r="B90" s="86" t="str">
        <f t="shared" si="8"/>
        <v/>
      </c>
      <c r="C90" s="46"/>
      <c r="D90" s="46"/>
      <c r="E90" s="46"/>
      <c r="F90" s="46"/>
      <c r="G90" s="46"/>
      <c r="H90" s="46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8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ht="14.25">
      <c r="A91" s="85">
        <f t="shared" si="9"/>
        <v>91</v>
      </c>
      <c r="B91" s="86" t="str">
        <f t="shared" si="8"/>
        <v/>
      </c>
      <c r="C91" s="46"/>
      <c r="D91" s="46"/>
      <c r="E91" s="46"/>
      <c r="F91" s="46"/>
      <c r="G91" s="46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8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ht="14.25">
      <c r="A92" s="85">
        <f t="shared" si="9"/>
        <v>92</v>
      </c>
      <c r="B92" s="86" t="str">
        <f t="shared" si="8"/>
        <v/>
      </c>
      <c r="C92" s="46"/>
      <c r="D92" s="46"/>
      <c r="E92" s="46"/>
      <c r="F92" s="46"/>
      <c r="G92" s="46"/>
      <c r="H92" s="46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8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ht="14.25">
      <c r="A93" s="85">
        <f t="shared" si="9"/>
        <v>93</v>
      </c>
      <c r="B93" s="86" t="str">
        <f t="shared" si="8"/>
        <v/>
      </c>
      <c r="C93" s="46"/>
      <c r="D93" s="46"/>
      <c r="E93" s="46"/>
      <c r="F93" s="46"/>
      <c r="G93" s="46"/>
      <c r="H93" s="46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8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ht="14.25">
      <c r="A94" s="85">
        <f t="shared" si="9"/>
        <v>94</v>
      </c>
      <c r="B94" s="86" t="str">
        <f t="shared" si="8"/>
        <v/>
      </c>
      <c r="C94" s="46"/>
      <c r="D94" s="46"/>
      <c r="E94" s="46"/>
      <c r="F94" s="46"/>
      <c r="G94" s="46"/>
      <c r="H94" s="4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8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ht="14.25">
      <c r="A95" s="85">
        <f t="shared" si="9"/>
        <v>95</v>
      </c>
      <c r="B95" s="86" t="str">
        <f t="shared" si="8"/>
        <v/>
      </c>
      <c r="C95" s="46"/>
      <c r="D95" s="46"/>
      <c r="E95" s="46"/>
      <c r="F95" s="46"/>
      <c r="G95" s="46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8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ht="14.25">
      <c r="A96" s="85">
        <f t="shared" si="9"/>
        <v>96</v>
      </c>
      <c r="B96" s="86" t="str">
        <f t="shared" si="8"/>
        <v/>
      </c>
      <c r="C96" s="46"/>
      <c r="D96" s="46"/>
      <c r="E96" s="46"/>
      <c r="F96" s="46"/>
      <c r="G96" s="46"/>
      <c r="H96" s="46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8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ht="14.25">
      <c r="A97" s="85">
        <f t="shared" si="9"/>
        <v>97</v>
      </c>
      <c r="B97" s="86" t="str">
        <f t="shared" si="8"/>
        <v/>
      </c>
      <c r="C97" s="46"/>
      <c r="D97" s="46"/>
      <c r="E97" s="46"/>
      <c r="F97" s="46"/>
      <c r="G97" s="46"/>
      <c r="H97" s="46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8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ht="14.25">
      <c r="A98" s="85">
        <f t="shared" si="9"/>
        <v>98</v>
      </c>
      <c r="B98" s="86" t="str">
        <f t="shared" si="8"/>
        <v/>
      </c>
      <c r="C98" s="46"/>
      <c r="D98" s="46"/>
      <c r="E98" s="46"/>
      <c r="F98" s="46"/>
      <c r="G98" s="46"/>
      <c r="H98" s="46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ht="14.25">
      <c r="A99" s="85">
        <f t="shared" si="9"/>
        <v>99</v>
      </c>
      <c r="B99" s="86" t="str">
        <f t="shared" ref="B99:B130" si="10">C99&amp;D99&amp;E99&amp;F99&amp;G99&amp;H99</f>
        <v/>
      </c>
      <c r="C99" s="46"/>
      <c r="D99" s="46"/>
      <c r="E99" s="46"/>
      <c r="F99" s="46"/>
      <c r="G99" s="46"/>
      <c r="H99" s="46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8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ht="14.25">
      <c r="A100" s="85">
        <f t="shared" si="9"/>
        <v>100</v>
      </c>
      <c r="B100" s="86" t="str">
        <f t="shared" si="10"/>
        <v/>
      </c>
      <c r="C100" s="46"/>
      <c r="D100" s="46"/>
      <c r="E100" s="46"/>
      <c r="F100" s="46"/>
      <c r="G100" s="46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8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ht="14.25">
      <c r="A101" s="85">
        <f t="shared" si="9"/>
        <v>101</v>
      </c>
      <c r="B101" s="86" t="str">
        <f t="shared" si="10"/>
        <v/>
      </c>
      <c r="C101" s="46"/>
      <c r="D101" s="46"/>
      <c r="E101" s="46"/>
      <c r="F101" s="46"/>
      <c r="G101" s="46"/>
      <c r="H101" s="4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8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ht="14.25">
      <c r="A102" s="85">
        <f t="shared" si="9"/>
        <v>102</v>
      </c>
      <c r="B102" s="86" t="str">
        <f t="shared" si="10"/>
        <v/>
      </c>
      <c r="C102" s="46"/>
      <c r="D102" s="46"/>
      <c r="E102" s="46"/>
      <c r="F102" s="46"/>
      <c r="G102" s="46"/>
      <c r="H102" s="46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8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ht="14.25">
      <c r="A103" s="85">
        <f t="shared" si="9"/>
        <v>103</v>
      </c>
      <c r="B103" s="86" t="str">
        <f t="shared" si="10"/>
        <v/>
      </c>
      <c r="C103" s="46"/>
      <c r="D103" s="46"/>
      <c r="E103" s="46"/>
      <c r="F103" s="46"/>
      <c r="G103" s="46"/>
      <c r="H103" s="46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8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ht="14.25">
      <c r="A104" s="85">
        <f t="shared" si="9"/>
        <v>104</v>
      </c>
      <c r="B104" s="86" t="str">
        <f t="shared" si="10"/>
        <v/>
      </c>
      <c r="C104" s="46"/>
      <c r="D104" s="46"/>
      <c r="E104" s="46"/>
      <c r="F104" s="46"/>
      <c r="G104" s="46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ht="14.25">
      <c r="A105" s="85">
        <f t="shared" si="9"/>
        <v>105</v>
      </c>
      <c r="B105" s="86" t="str">
        <f t="shared" si="10"/>
        <v/>
      </c>
      <c r="C105" s="46"/>
      <c r="D105" s="46"/>
      <c r="E105" s="46"/>
      <c r="F105" s="46"/>
      <c r="G105" s="46"/>
      <c r="H105" s="4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8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ht="14.25">
      <c r="A106" s="85">
        <f t="shared" si="9"/>
        <v>106</v>
      </c>
      <c r="B106" s="86" t="str">
        <f t="shared" si="10"/>
        <v/>
      </c>
      <c r="C106" s="46"/>
      <c r="D106" s="46"/>
      <c r="E106" s="46"/>
      <c r="F106" s="46"/>
      <c r="G106" s="46"/>
      <c r="H106" s="46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8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ht="14.25">
      <c r="A107" s="85">
        <f t="shared" si="9"/>
        <v>107</v>
      </c>
      <c r="B107" s="86" t="str">
        <f t="shared" si="10"/>
        <v/>
      </c>
      <c r="C107" s="46"/>
      <c r="D107" s="46"/>
      <c r="E107" s="46"/>
      <c r="F107" s="46"/>
      <c r="G107" s="46"/>
      <c r="H107" s="46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8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ht="14.25">
      <c r="A108" s="85">
        <f t="shared" si="9"/>
        <v>108</v>
      </c>
      <c r="B108" s="86" t="str">
        <f t="shared" si="10"/>
        <v/>
      </c>
      <c r="C108" s="46"/>
      <c r="D108" s="46"/>
      <c r="E108" s="46"/>
      <c r="F108" s="46"/>
      <c r="G108" s="46"/>
      <c r="H108" s="46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ht="14.25">
      <c r="A109" s="85">
        <f t="shared" si="9"/>
        <v>109</v>
      </c>
      <c r="B109" s="86" t="str">
        <f t="shared" si="10"/>
        <v/>
      </c>
      <c r="C109" s="46"/>
      <c r="D109" s="46"/>
      <c r="E109" s="46"/>
      <c r="F109" s="46"/>
      <c r="G109" s="46"/>
      <c r="H109" s="46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8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ht="14.25">
      <c r="A110" s="85">
        <f t="shared" si="9"/>
        <v>110</v>
      </c>
      <c r="B110" s="86" t="str">
        <f t="shared" si="10"/>
        <v/>
      </c>
      <c r="C110" s="46"/>
      <c r="D110" s="46"/>
      <c r="E110" s="46"/>
      <c r="F110" s="46"/>
      <c r="G110" s="46"/>
      <c r="H110" s="4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ht="14.25">
      <c r="A111" s="85">
        <f t="shared" si="9"/>
        <v>111</v>
      </c>
      <c r="B111" s="86" t="str">
        <f t="shared" si="10"/>
        <v/>
      </c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8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ht="14.25">
      <c r="A112" s="85">
        <f t="shared" si="9"/>
        <v>112</v>
      </c>
      <c r="B112" s="86" t="str">
        <f t="shared" si="10"/>
        <v/>
      </c>
      <c r="C112" s="46"/>
      <c r="D112" s="46"/>
      <c r="E112" s="46"/>
      <c r="F112" s="46"/>
      <c r="G112" s="46"/>
      <c r="H112" s="46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8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ht="14.25">
      <c r="A113" s="85">
        <f t="shared" si="9"/>
        <v>113</v>
      </c>
      <c r="B113" s="86" t="str">
        <f t="shared" si="10"/>
        <v/>
      </c>
      <c r="C113" s="46"/>
      <c r="D113" s="46"/>
      <c r="E113" s="46"/>
      <c r="F113" s="46"/>
      <c r="G113" s="46"/>
      <c r="H113" s="46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8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ht="14.25">
      <c r="A114" s="85">
        <f t="shared" si="9"/>
        <v>114</v>
      </c>
      <c r="B114" s="86" t="str">
        <f t="shared" si="10"/>
        <v/>
      </c>
      <c r="C114" s="46"/>
      <c r="D114" s="46"/>
      <c r="E114" s="46"/>
      <c r="F114" s="46"/>
      <c r="G114" s="46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8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ht="14.25">
      <c r="A115" s="85">
        <f t="shared" si="9"/>
        <v>115</v>
      </c>
      <c r="B115" s="86" t="str">
        <f t="shared" si="10"/>
        <v/>
      </c>
      <c r="C115" s="46"/>
      <c r="D115" s="46"/>
      <c r="E115" s="46"/>
      <c r="F115" s="46"/>
      <c r="G115" s="46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8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ht="14.25">
      <c r="A116" s="85">
        <f t="shared" si="9"/>
        <v>116</v>
      </c>
      <c r="B116" s="86" t="str">
        <f t="shared" si="10"/>
        <v/>
      </c>
      <c r="C116" s="46"/>
      <c r="D116" s="46"/>
      <c r="E116" s="46"/>
      <c r="F116" s="46"/>
      <c r="G116" s="46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ht="14.25">
      <c r="A117" s="85">
        <f t="shared" si="9"/>
        <v>117</v>
      </c>
      <c r="B117" s="86" t="str">
        <f t="shared" si="10"/>
        <v/>
      </c>
      <c r="C117" s="46"/>
      <c r="D117" s="46"/>
      <c r="E117" s="46"/>
      <c r="F117" s="46"/>
      <c r="G117" s="46"/>
      <c r="H117" s="46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8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ht="14.25">
      <c r="A118" s="85">
        <f t="shared" si="9"/>
        <v>118</v>
      </c>
      <c r="B118" s="86" t="str">
        <f t="shared" si="10"/>
        <v/>
      </c>
      <c r="C118" s="46"/>
      <c r="D118" s="46"/>
      <c r="E118" s="46"/>
      <c r="F118" s="46"/>
      <c r="G118" s="46"/>
      <c r="H118" s="46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ht="14.25">
      <c r="A119" s="85">
        <f t="shared" si="9"/>
        <v>119</v>
      </c>
      <c r="B119" s="86" t="str">
        <f t="shared" si="10"/>
        <v/>
      </c>
      <c r="C119" s="46"/>
      <c r="D119" s="46"/>
      <c r="E119" s="46"/>
      <c r="F119" s="46"/>
      <c r="G119" s="46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8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ht="14.25">
      <c r="A120" s="85">
        <f t="shared" si="9"/>
        <v>120</v>
      </c>
      <c r="B120" s="86" t="str">
        <f t="shared" si="10"/>
        <v/>
      </c>
      <c r="C120" s="46"/>
      <c r="D120" s="46"/>
      <c r="E120" s="46"/>
      <c r="F120" s="46"/>
      <c r="G120" s="46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8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ht="14.25">
      <c r="A121" s="85">
        <f t="shared" si="9"/>
        <v>121</v>
      </c>
      <c r="B121" s="86" t="str">
        <f t="shared" si="10"/>
        <v/>
      </c>
      <c r="C121" s="46"/>
      <c r="D121" s="46"/>
      <c r="E121" s="46"/>
      <c r="F121" s="46"/>
      <c r="G121" s="46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8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ht="14.25">
      <c r="A122" s="85">
        <f t="shared" si="9"/>
        <v>122</v>
      </c>
      <c r="B122" s="86" t="str">
        <f t="shared" si="10"/>
        <v/>
      </c>
      <c r="C122" s="46"/>
      <c r="D122" s="46"/>
      <c r="E122" s="46"/>
      <c r="F122" s="46"/>
      <c r="G122" s="46"/>
      <c r="H122" s="46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8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ht="14.25">
      <c r="A123" s="85">
        <f t="shared" si="9"/>
        <v>123</v>
      </c>
      <c r="B123" s="86" t="str">
        <f t="shared" si="10"/>
        <v/>
      </c>
      <c r="C123" s="46"/>
      <c r="D123" s="46"/>
      <c r="E123" s="46"/>
      <c r="F123" s="46"/>
      <c r="G123" s="46"/>
      <c r="H123" s="46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8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ht="14.25">
      <c r="A124" s="85">
        <f t="shared" si="9"/>
        <v>124</v>
      </c>
      <c r="B124" s="86" t="str">
        <f t="shared" si="10"/>
        <v/>
      </c>
      <c r="C124" s="46"/>
      <c r="D124" s="46"/>
      <c r="E124" s="46"/>
      <c r="F124" s="46"/>
      <c r="G124" s="46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8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ht="14.25">
      <c r="A125" s="85">
        <f t="shared" si="9"/>
        <v>125</v>
      </c>
      <c r="B125" s="86" t="str">
        <f t="shared" si="10"/>
        <v/>
      </c>
      <c r="C125" s="46"/>
      <c r="D125" s="46"/>
      <c r="E125" s="46"/>
      <c r="F125" s="46"/>
      <c r="G125" s="46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8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ht="14.25">
      <c r="A126" s="85">
        <f t="shared" si="9"/>
        <v>126</v>
      </c>
      <c r="B126" s="86" t="str">
        <f t="shared" si="10"/>
        <v/>
      </c>
      <c r="C126" s="46"/>
      <c r="D126" s="46"/>
      <c r="E126" s="46"/>
      <c r="F126" s="46"/>
      <c r="G126" s="46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8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ht="14.25">
      <c r="A127" s="85">
        <f t="shared" si="9"/>
        <v>127</v>
      </c>
      <c r="B127" s="86" t="str">
        <f t="shared" si="10"/>
        <v/>
      </c>
      <c r="C127" s="46"/>
      <c r="D127" s="46"/>
      <c r="E127" s="46"/>
      <c r="F127" s="46"/>
      <c r="G127" s="46"/>
      <c r="H127" s="46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8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ht="14.25">
      <c r="A128" s="85">
        <f t="shared" si="9"/>
        <v>128</v>
      </c>
      <c r="B128" s="86" t="str">
        <f t="shared" si="10"/>
        <v/>
      </c>
      <c r="C128" s="46"/>
      <c r="D128" s="46"/>
      <c r="E128" s="46"/>
      <c r="F128" s="46"/>
      <c r="G128" s="46"/>
      <c r="H128" s="46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ht="14.25">
      <c r="A129" s="85">
        <f t="shared" si="9"/>
        <v>129</v>
      </c>
      <c r="B129" s="86" t="str">
        <f t="shared" si="10"/>
        <v/>
      </c>
      <c r="C129" s="46"/>
      <c r="D129" s="46"/>
      <c r="E129" s="46"/>
      <c r="F129" s="46"/>
      <c r="G129" s="46"/>
      <c r="H129" s="4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8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ht="14.25">
      <c r="A130" s="85">
        <f t="shared" si="9"/>
        <v>130</v>
      </c>
      <c r="B130" s="86" t="str">
        <f t="shared" si="10"/>
        <v/>
      </c>
      <c r="C130" s="46"/>
      <c r="D130" s="46"/>
      <c r="E130" s="46"/>
      <c r="F130" s="46"/>
      <c r="G130" s="46"/>
      <c r="H130" s="4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8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ht="14.25">
      <c r="A131" s="85">
        <f t="shared" si="9"/>
        <v>131</v>
      </c>
      <c r="B131" s="86" t="str">
        <f t="shared" ref="B131:B159" si="11">C131&amp;D131&amp;E131&amp;F131&amp;G131&amp;H131</f>
        <v/>
      </c>
      <c r="C131" s="46"/>
      <c r="D131" s="46"/>
      <c r="E131" s="46"/>
      <c r="F131" s="46"/>
      <c r="G131" s="46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8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ht="14.25">
      <c r="A132" s="85">
        <f t="shared" ref="A132:A195" si="12">A131+1</f>
        <v>132</v>
      </c>
      <c r="B132" s="86" t="str">
        <f t="shared" si="11"/>
        <v/>
      </c>
      <c r="C132" s="46"/>
      <c r="D132" s="46"/>
      <c r="E132" s="46"/>
      <c r="F132" s="46"/>
      <c r="G132" s="46"/>
      <c r="H132" s="46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8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ht="14.25">
      <c r="A133" s="85">
        <f t="shared" si="12"/>
        <v>133</v>
      </c>
      <c r="B133" s="86" t="str">
        <f t="shared" si="11"/>
        <v/>
      </c>
      <c r="C133" s="46"/>
      <c r="D133" s="46"/>
      <c r="E133" s="46"/>
      <c r="F133" s="46"/>
      <c r="G133" s="46"/>
      <c r="H133" s="46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8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ht="14.25">
      <c r="A134" s="85">
        <f t="shared" si="12"/>
        <v>134</v>
      </c>
      <c r="B134" s="86" t="str">
        <f t="shared" si="11"/>
        <v/>
      </c>
      <c r="C134" s="46"/>
      <c r="D134" s="46"/>
      <c r="E134" s="46"/>
      <c r="F134" s="46"/>
      <c r="G134" s="46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8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ht="14.25">
      <c r="A135" s="85">
        <f t="shared" si="12"/>
        <v>135</v>
      </c>
      <c r="B135" s="86" t="str">
        <f t="shared" si="11"/>
        <v/>
      </c>
      <c r="C135" s="46"/>
      <c r="D135" s="46"/>
      <c r="E135" s="46"/>
      <c r="F135" s="46"/>
      <c r="G135" s="46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8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ht="14.25">
      <c r="A136" s="85">
        <f t="shared" si="12"/>
        <v>136</v>
      </c>
      <c r="B136" s="86" t="str">
        <f t="shared" si="11"/>
        <v/>
      </c>
      <c r="C136" s="46"/>
      <c r="D136" s="46"/>
      <c r="E136" s="46"/>
      <c r="F136" s="46"/>
      <c r="G136" s="46"/>
      <c r="H136" s="4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8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ht="14.25">
      <c r="A137" s="85">
        <f t="shared" si="12"/>
        <v>137</v>
      </c>
      <c r="B137" s="86" t="str">
        <f t="shared" si="11"/>
        <v/>
      </c>
      <c r="C137" s="46"/>
      <c r="D137" s="46"/>
      <c r="E137" s="46"/>
      <c r="F137" s="46"/>
      <c r="G137" s="46"/>
      <c r="H137" s="46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8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ht="14.25">
      <c r="A138" s="85">
        <f t="shared" si="12"/>
        <v>138</v>
      </c>
      <c r="B138" s="86" t="str">
        <f t="shared" si="11"/>
        <v/>
      </c>
      <c r="C138" s="46"/>
      <c r="D138" s="46"/>
      <c r="E138" s="46"/>
      <c r="F138" s="46"/>
      <c r="G138" s="46"/>
      <c r="H138" s="46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ht="14.25">
      <c r="A139" s="85">
        <f t="shared" si="12"/>
        <v>139</v>
      </c>
      <c r="B139" s="86" t="str">
        <f t="shared" si="11"/>
        <v/>
      </c>
      <c r="C139" s="46"/>
      <c r="D139" s="46"/>
      <c r="E139" s="46"/>
      <c r="F139" s="46"/>
      <c r="G139" s="46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8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>
      <c r="A140" s="85">
        <f t="shared" si="12"/>
        <v>140</v>
      </c>
      <c r="B140" s="86" t="str">
        <f t="shared" si="11"/>
        <v/>
      </c>
      <c r="C140" s="46"/>
      <c r="D140" s="46"/>
      <c r="E140" s="46"/>
      <c r="F140" s="46"/>
      <c r="G140" s="46"/>
      <c r="H140" s="46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50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</row>
    <row r="141" spans="1:60" ht="14.25">
      <c r="A141" s="85">
        <f t="shared" si="12"/>
        <v>141</v>
      </c>
      <c r="B141" s="86" t="str">
        <f t="shared" si="11"/>
        <v/>
      </c>
      <c r="C141" s="51"/>
      <c r="D141" s="51"/>
      <c r="E141" s="51"/>
      <c r="F141" s="51"/>
      <c r="G141" s="51"/>
      <c r="H141" s="51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48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ht="14.25">
      <c r="A142" s="85">
        <f t="shared" si="12"/>
        <v>142</v>
      </c>
      <c r="B142" s="86" t="str">
        <f t="shared" si="11"/>
        <v/>
      </c>
      <c r="C142" s="51"/>
      <c r="D142" s="51"/>
      <c r="E142" s="51"/>
      <c r="F142" s="51"/>
      <c r="G142" s="51"/>
      <c r="H142" s="51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48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ht="14.25">
      <c r="A143" s="85">
        <f t="shared" si="12"/>
        <v>143</v>
      </c>
      <c r="B143" s="86" t="str">
        <f t="shared" si="11"/>
        <v/>
      </c>
      <c r="C143" s="51"/>
      <c r="D143" s="51"/>
      <c r="E143" s="51"/>
      <c r="F143" s="51"/>
      <c r="G143" s="51"/>
      <c r="H143" s="51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48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ht="14.25">
      <c r="A144" s="85">
        <f t="shared" si="12"/>
        <v>144</v>
      </c>
      <c r="B144" s="86" t="str">
        <f t="shared" si="11"/>
        <v/>
      </c>
      <c r="C144" s="51"/>
      <c r="D144" s="51"/>
      <c r="E144" s="51"/>
      <c r="F144" s="51"/>
      <c r="G144" s="51"/>
      <c r="H144" s="51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48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ht="14.25">
      <c r="A145" s="85">
        <f t="shared" si="12"/>
        <v>145</v>
      </c>
      <c r="B145" s="86" t="str">
        <f t="shared" si="11"/>
        <v/>
      </c>
      <c r="C145" s="51"/>
      <c r="D145" s="51"/>
      <c r="E145" s="51"/>
      <c r="F145" s="51"/>
      <c r="G145" s="51"/>
      <c r="H145" s="51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48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ht="14.25">
      <c r="A146" s="85">
        <f t="shared" si="12"/>
        <v>146</v>
      </c>
      <c r="B146" s="86" t="str">
        <f t="shared" si="11"/>
        <v/>
      </c>
      <c r="C146" s="51"/>
      <c r="D146" s="51"/>
      <c r="E146" s="51"/>
      <c r="F146" s="51"/>
      <c r="G146" s="51"/>
      <c r="H146" s="51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48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ht="14.25">
      <c r="A147" s="85">
        <f t="shared" si="12"/>
        <v>147</v>
      </c>
      <c r="B147" s="86" t="str">
        <f t="shared" si="11"/>
        <v/>
      </c>
      <c r="C147" s="51"/>
      <c r="D147" s="51"/>
      <c r="E147" s="51"/>
      <c r="F147" s="51"/>
      <c r="G147" s="51"/>
      <c r="H147" s="51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48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ht="14.25">
      <c r="A148" s="85">
        <f t="shared" si="12"/>
        <v>148</v>
      </c>
      <c r="B148" s="86" t="str">
        <f t="shared" si="11"/>
        <v/>
      </c>
      <c r="C148" s="51"/>
      <c r="D148" s="51"/>
      <c r="E148" s="51"/>
      <c r="F148" s="51"/>
      <c r="G148" s="51"/>
      <c r="H148" s="51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ht="14.25">
      <c r="A149" s="85">
        <f t="shared" si="12"/>
        <v>149</v>
      </c>
      <c r="B149" s="86" t="str">
        <f t="shared" si="11"/>
        <v/>
      </c>
      <c r="C149" s="51"/>
      <c r="D149" s="51"/>
      <c r="E149" s="51"/>
      <c r="F149" s="51"/>
      <c r="G149" s="51"/>
      <c r="H149" s="51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48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ht="14.25">
      <c r="A150" s="85">
        <f t="shared" si="12"/>
        <v>150</v>
      </c>
      <c r="B150" s="86" t="str">
        <f t="shared" si="11"/>
        <v/>
      </c>
      <c r="C150" s="51"/>
      <c r="D150" s="51"/>
      <c r="E150" s="51"/>
      <c r="F150" s="51"/>
      <c r="G150" s="51"/>
      <c r="H150" s="51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48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ht="14.25">
      <c r="A151" s="85">
        <f t="shared" si="12"/>
        <v>151</v>
      </c>
      <c r="B151" s="86" t="str">
        <f t="shared" si="11"/>
        <v/>
      </c>
      <c r="C151" s="51"/>
      <c r="D151" s="51"/>
      <c r="E151" s="51"/>
      <c r="F151" s="51"/>
      <c r="G151" s="51"/>
      <c r="H151" s="51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48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ht="14.25">
      <c r="A152" s="85">
        <f t="shared" si="12"/>
        <v>152</v>
      </c>
      <c r="B152" s="86" t="str">
        <f t="shared" si="11"/>
        <v/>
      </c>
      <c r="C152" s="51"/>
      <c r="D152" s="51"/>
      <c r="E152" s="51"/>
      <c r="F152" s="51"/>
      <c r="G152" s="51"/>
      <c r="H152" s="5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48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ht="14.25">
      <c r="A153" s="85">
        <f t="shared" si="12"/>
        <v>153</v>
      </c>
      <c r="B153" s="86" t="str">
        <f t="shared" si="11"/>
        <v/>
      </c>
      <c r="C153" s="51"/>
      <c r="D153" s="51"/>
      <c r="E153" s="51"/>
      <c r="F153" s="51"/>
      <c r="G153" s="51"/>
      <c r="H153" s="51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48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ht="14.25">
      <c r="A154" s="85">
        <f t="shared" si="12"/>
        <v>154</v>
      </c>
      <c r="B154" s="86" t="str">
        <f t="shared" si="11"/>
        <v/>
      </c>
      <c r="C154" s="51"/>
      <c r="D154" s="51"/>
      <c r="E154" s="51"/>
      <c r="F154" s="51"/>
      <c r="G154" s="51"/>
      <c r="H154" s="51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48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ht="14.25">
      <c r="A155" s="85">
        <f t="shared" si="12"/>
        <v>155</v>
      </c>
      <c r="B155" s="86" t="str">
        <f t="shared" si="11"/>
        <v/>
      </c>
      <c r="C155" s="51"/>
      <c r="D155" s="51"/>
      <c r="E155" s="51"/>
      <c r="F155" s="51"/>
      <c r="G155" s="51"/>
      <c r="H155" s="51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48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ht="14.25">
      <c r="A156" s="85">
        <f t="shared" si="12"/>
        <v>156</v>
      </c>
      <c r="B156" s="86" t="str">
        <f t="shared" si="11"/>
        <v/>
      </c>
      <c r="C156" s="51"/>
      <c r="D156" s="51"/>
      <c r="E156" s="51"/>
      <c r="F156" s="51"/>
      <c r="G156" s="51"/>
      <c r="H156" s="51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48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ht="14.25">
      <c r="A157" s="85">
        <f t="shared" si="12"/>
        <v>157</v>
      </c>
      <c r="B157" s="86" t="str">
        <f t="shared" si="11"/>
        <v/>
      </c>
      <c r="C157" s="51"/>
      <c r="D157" s="51"/>
      <c r="E157" s="51"/>
      <c r="F157" s="51"/>
      <c r="G157" s="51"/>
      <c r="H157" s="51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48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ht="14.25">
      <c r="A158" s="85">
        <f t="shared" si="12"/>
        <v>158</v>
      </c>
      <c r="B158" s="86" t="str">
        <f t="shared" si="11"/>
        <v/>
      </c>
      <c r="C158" s="51"/>
      <c r="D158" s="51"/>
      <c r="E158" s="51"/>
      <c r="F158" s="51"/>
      <c r="G158" s="51"/>
      <c r="H158" s="51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4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18" customFormat="1" ht="14.25">
      <c r="A159" s="85">
        <f t="shared" si="12"/>
        <v>159</v>
      </c>
      <c r="B159" s="86" t="str">
        <f t="shared" si="11"/>
        <v/>
      </c>
      <c r="C159" s="51"/>
      <c r="D159" s="51"/>
      <c r="E159" s="51"/>
      <c r="F159" s="51"/>
      <c r="G159" s="51"/>
      <c r="H159" s="51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48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ht="14.25">
      <c r="A160" s="85">
        <f t="shared" si="12"/>
        <v>160</v>
      </c>
      <c r="C160" s="51"/>
      <c r="D160" s="51"/>
      <c r="E160" s="51"/>
      <c r="F160" s="51"/>
      <c r="G160" s="51"/>
      <c r="H160" s="51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48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60" ht="14.25">
      <c r="A161" s="85">
        <f t="shared" si="12"/>
        <v>161</v>
      </c>
      <c r="C161" s="51"/>
      <c r="D161" s="51"/>
      <c r="E161" s="51"/>
      <c r="F161" s="51"/>
      <c r="G161" s="51"/>
      <c r="H161" s="51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48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</row>
    <row r="162" spans="1:60" ht="14.25">
      <c r="A162" s="85">
        <f t="shared" si="12"/>
        <v>162</v>
      </c>
      <c r="C162" s="51"/>
      <c r="D162" s="51"/>
      <c r="E162" s="51"/>
      <c r="F162" s="51"/>
      <c r="G162" s="51"/>
      <c r="H162" s="51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48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</row>
    <row r="163" spans="1:60" ht="14.25">
      <c r="A163" s="85">
        <f t="shared" si="12"/>
        <v>163</v>
      </c>
      <c r="C163" s="51"/>
      <c r="D163" s="51"/>
      <c r="E163" s="51"/>
      <c r="F163" s="51"/>
      <c r="G163" s="51"/>
      <c r="H163" s="51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48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</row>
    <row r="164" spans="1:60" ht="14.25">
      <c r="A164" s="85">
        <f t="shared" si="12"/>
        <v>164</v>
      </c>
      <c r="C164" s="51"/>
      <c r="D164" s="51"/>
      <c r="E164" s="51"/>
      <c r="F164" s="51"/>
      <c r="G164" s="51"/>
      <c r="H164" s="51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48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</row>
    <row r="165" spans="1:60" ht="14.25">
      <c r="A165" s="85">
        <f t="shared" si="12"/>
        <v>165</v>
      </c>
      <c r="C165" s="51"/>
      <c r="D165" s="51"/>
      <c r="E165" s="51"/>
      <c r="F165" s="51"/>
      <c r="G165" s="51"/>
      <c r="H165" s="51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48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</row>
    <row r="166" spans="1:60" ht="14.25">
      <c r="A166" s="85">
        <f t="shared" si="12"/>
        <v>166</v>
      </c>
      <c r="C166" s="51"/>
      <c r="D166" s="51"/>
      <c r="E166" s="51"/>
      <c r="F166" s="51"/>
      <c r="G166" s="51"/>
      <c r="H166" s="51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48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</row>
    <row r="167" spans="1:60" ht="14.25">
      <c r="A167" s="85">
        <f t="shared" si="12"/>
        <v>167</v>
      </c>
      <c r="C167" s="51"/>
      <c r="D167" s="51"/>
      <c r="E167" s="51"/>
      <c r="F167" s="51"/>
      <c r="G167" s="51"/>
      <c r="H167" s="51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48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</row>
    <row r="168" spans="1:60" ht="14.25">
      <c r="A168" s="85">
        <f t="shared" si="12"/>
        <v>168</v>
      </c>
      <c r="C168" s="51"/>
      <c r="D168" s="51"/>
      <c r="E168" s="51"/>
      <c r="F168" s="51"/>
      <c r="G168" s="51"/>
      <c r="H168" s="51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4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</row>
    <row r="169" spans="1:60" ht="14.25">
      <c r="A169" s="85">
        <f t="shared" si="12"/>
        <v>169</v>
      </c>
      <c r="C169" s="51"/>
      <c r="D169" s="51"/>
      <c r="E169" s="51"/>
      <c r="F169" s="51"/>
      <c r="G169" s="51"/>
      <c r="H169" s="51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48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</row>
    <row r="170" spans="1:60" ht="14.25">
      <c r="A170" s="85">
        <f t="shared" si="12"/>
        <v>170</v>
      </c>
      <c r="C170" s="51"/>
      <c r="D170" s="51"/>
      <c r="E170" s="51"/>
      <c r="F170" s="51"/>
      <c r="G170" s="51"/>
      <c r="H170" s="51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48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1:60" ht="14.25">
      <c r="A171" s="85">
        <f t="shared" si="12"/>
        <v>171</v>
      </c>
      <c r="C171" s="51"/>
      <c r="D171" s="51"/>
      <c r="E171" s="51"/>
      <c r="F171" s="51"/>
      <c r="G171" s="51"/>
      <c r="H171" s="51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48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</row>
    <row r="172" spans="1:60" ht="14.25">
      <c r="A172" s="85">
        <f t="shared" si="12"/>
        <v>172</v>
      </c>
      <c r="C172" s="51"/>
      <c r="D172" s="51"/>
      <c r="E172" s="51"/>
      <c r="F172" s="51"/>
      <c r="G172" s="51"/>
      <c r="H172" s="51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48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</row>
    <row r="173" spans="1:60" ht="14.25">
      <c r="A173" s="85">
        <f t="shared" si="12"/>
        <v>173</v>
      </c>
      <c r="C173" s="51"/>
      <c r="D173" s="51"/>
      <c r="E173" s="51"/>
      <c r="F173" s="51"/>
      <c r="G173" s="51"/>
      <c r="H173" s="51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48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1:60" ht="14.25">
      <c r="A174" s="85">
        <f t="shared" si="12"/>
        <v>174</v>
      </c>
      <c r="C174" s="51"/>
      <c r="D174" s="51"/>
      <c r="E174" s="51"/>
      <c r="F174" s="51"/>
      <c r="G174" s="51"/>
      <c r="H174" s="51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48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</row>
    <row r="175" spans="1:60" ht="14.25">
      <c r="A175" s="85">
        <f t="shared" si="12"/>
        <v>175</v>
      </c>
      <c r="C175" s="51"/>
      <c r="D175" s="51"/>
      <c r="E175" s="51"/>
      <c r="F175" s="51"/>
      <c r="G175" s="51"/>
      <c r="H175" s="51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48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</row>
    <row r="176" spans="1:60" ht="14.25">
      <c r="A176" s="85">
        <f t="shared" si="12"/>
        <v>176</v>
      </c>
      <c r="C176" s="51"/>
      <c r="D176" s="51"/>
      <c r="E176" s="51"/>
      <c r="F176" s="51"/>
      <c r="G176" s="51"/>
      <c r="H176" s="51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48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</row>
    <row r="177" spans="1:60" ht="14.25">
      <c r="A177" s="85">
        <f t="shared" si="12"/>
        <v>177</v>
      </c>
      <c r="C177" s="51"/>
      <c r="D177" s="51"/>
      <c r="E177" s="51"/>
      <c r="F177" s="51"/>
      <c r="G177" s="51"/>
      <c r="H177" s="51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48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</row>
    <row r="178" spans="1:60" ht="14.25">
      <c r="A178" s="85">
        <f t="shared" si="12"/>
        <v>178</v>
      </c>
      <c r="C178" s="51"/>
      <c r="D178" s="51"/>
      <c r="E178" s="51"/>
      <c r="F178" s="51"/>
      <c r="G178" s="51"/>
      <c r="H178" s="51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4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</row>
    <row r="179" spans="1:60" ht="14.25">
      <c r="A179" s="85">
        <f t="shared" si="12"/>
        <v>179</v>
      </c>
      <c r="C179" s="51"/>
      <c r="D179" s="51"/>
      <c r="E179" s="51"/>
      <c r="F179" s="51"/>
      <c r="G179" s="51"/>
      <c r="H179" s="51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48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</row>
    <row r="180" spans="1:60" ht="14.25">
      <c r="A180" s="85">
        <f t="shared" si="12"/>
        <v>180</v>
      </c>
      <c r="C180" s="51"/>
      <c r="D180" s="51"/>
      <c r="E180" s="51"/>
      <c r="F180" s="51"/>
      <c r="G180" s="51"/>
      <c r="H180" s="51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48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</row>
    <row r="181" spans="1:60" ht="14.25">
      <c r="A181" s="85">
        <f t="shared" si="12"/>
        <v>181</v>
      </c>
      <c r="C181" s="51"/>
      <c r="D181" s="51"/>
      <c r="E181" s="51"/>
      <c r="F181" s="51"/>
      <c r="G181" s="51"/>
      <c r="H181" s="51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48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</row>
    <row r="182" spans="1:60" ht="14.25">
      <c r="A182" s="85">
        <f t="shared" si="12"/>
        <v>182</v>
      </c>
      <c r="C182" s="51"/>
      <c r="D182" s="51"/>
      <c r="E182" s="51"/>
      <c r="F182" s="51"/>
      <c r="G182" s="51"/>
      <c r="H182" s="51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48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</row>
    <row r="183" spans="1:60" ht="14.25">
      <c r="A183" s="85">
        <f t="shared" si="12"/>
        <v>183</v>
      </c>
      <c r="C183" s="51"/>
      <c r="D183" s="51"/>
      <c r="E183" s="51"/>
      <c r="F183" s="51"/>
      <c r="G183" s="51"/>
      <c r="H183" s="51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48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</row>
    <row r="184" spans="1:60" ht="14.25">
      <c r="A184" s="85">
        <f t="shared" si="12"/>
        <v>184</v>
      </c>
      <c r="C184" s="51"/>
      <c r="D184" s="51"/>
      <c r="E184" s="51"/>
      <c r="F184" s="51"/>
      <c r="G184" s="51"/>
      <c r="H184" s="51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48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</row>
    <row r="185" spans="1:60" ht="14.25">
      <c r="A185" s="85">
        <f t="shared" si="12"/>
        <v>185</v>
      </c>
      <c r="C185" s="51"/>
      <c r="D185" s="51"/>
      <c r="E185" s="51"/>
      <c r="F185" s="51"/>
      <c r="G185" s="51"/>
      <c r="H185" s="51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48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</row>
    <row r="186" spans="1:60" ht="14.25">
      <c r="A186" s="85">
        <f t="shared" si="12"/>
        <v>186</v>
      </c>
      <c r="C186" s="51"/>
      <c r="D186" s="51"/>
      <c r="E186" s="51"/>
      <c r="F186" s="51"/>
      <c r="G186" s="51"/>
      <c r="H186" s="51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48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</row>
    <row r="187" spans="1:60" ht="14.25">
      <c r="A187" s="85">
        <f t="shared" si="12"/>
        <v>187</v>
      </c>
      <c r="C187" s="51"/>
      <c r="D187" s="51"/>
      <c r="E187" s="51"/>
      <c r="F187" s="51"/>
      <c r="G187" s="51"/>
      <c r="H187" s="51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48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</row>
    <row r="188" spans="1:60" ht="14.25">
      <c r="A188" s="85">
        <f t="shared" si="12"/>
        <v>188</v>
      </c>
      <c r="C188" s="51"/>
      <c r="D188" s="51"/>
      <c r="E188" s="51"/>
      <c r="F188" s="51"/>
      <c r="G188" s="51"/>
      <c r="H188" s="51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4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</row>
    <row r="189" spans="1:60" ht="14.25">
      <c r="A189" s="85">
        <f t="shared" si="12"/>
        <v>189</v>
      </c>
      <c r="C189" s="51"/>
      <c r="D189" s="51"/>
      <c r="E189" s="51"/>
      <c r="F189" s="51"/>
      <c r="G189" s="51"/>
      <c r="H189" s="51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48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</row>
    <row r="190" spans="1:60" ht="14.25">
      <c r="A190" s="85">
        <f t="shared" si="12"/>
        <v>190</v>
      </c>
      <c r="C190" s="51"/>
      <c r="D190" s="51"/>
      <c r="E190" s="51"/>
      <c r="F190" s="51"/>
      <c r="G190" s="51"/>
      <c r="H190" s="51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48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</row>
    <row r="191" spans="1:60" ht="14.25">
      <c r="A191" s="85">
        <f t="shared" si="12"/>
        <v>191</v>
      </c>
      <c r="C191" s="51"/>
      <c r="D191" s="51"/>
      <c r="E191" s="51"/>
      <c r="F191" s="51"/>
      <c r="G191" s="51"/>
      <c r="H191" s="51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48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</row>
    <row r="192" spans="1:60" ht="14.25">
      <c r="A192" s="85">
        <f t="shared" si="12"/>
        <v>192</v>
      </c>
      <c r="C192" s="51"/>
      <c r="D192" s="51"/>
      <c r="E192" s="51"/>
      <c r="F192" s="51"/>
      <c r="G192" s="51"/>
      <c r="H192" s="51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48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</row>
    <row r="193" spans="1:60" ht="14.25">
      <c r="A193" s="85">
        <f t="shared" si="12"/>
        <v>193</v>
      </c>
      <c r="C193" s="51"/>
      <c r="D193" s="51"/>
      <c r="E193" s="51"/>
      <c r="F193" s="51"/>
      <c r="G193" s="51"/>
      <c r="H193" s="51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48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</row>
    <row r="194" spans="1:60" ht="14.25">
      <c r="A194" s="85">
        <f t="shared" si="12"/>
        <v>194</v>
      </c>
      <c r="C194" s="51"/>
      <c r="D194" s="51"/>
      <c r="E194" s="51"/>
      <c r="F194" s="51"/>
      <c r="G194" s="51"/>
      <c r="H194" s="51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48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</row>
    <row r="195" spans="1:60" ht="14.25">
      <c r="A195" s="85">
        <f t="shared" si="12"/>
        <v>195</v>
      </c>
      <c r="C195" s="51"/>
      <c r="D195" s="51"/>
      <c r="E195" s="51"/>
      <c r="F195" s="51"/>
      <c r="G195" s="51"/>
      <c r="H195" s="51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48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</row>
    <row r="196" spans="1:60" ht="14.25">
      <c r="A196" s="85">
        <f t="shared" ref="A196:A201" si="13">A195+1</f>
        <v>196</v>
      </c>
      <c r="C196" s="51"/>
      <c r="D196" s="51"/>
      <c r="E196" s="51"/>
      <c r="F196" s="51"/>
      <c r="G196" s="51"/>
      <c r="H196" s="51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48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</row>
    <row r="197" spans="1:60" ht="14.25">
      <c r="A197" s="85">
        <f t="shared" si="13"/>
        <v>197</v>
      </c>
      <c r="C197" s="51"/>
      <c r="D197" s="51"/>
      <c r="E197" s="51"/>
      <c r="F197" s="51"/>
      <c r="G197" s="51"/>
      <c r="H197" s="51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48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</row>
    <row r="198" spans="1:60" ht="14.25">
      <c r="A198" s="85">
        <f t="shared" si="13"/>
        <v>198</v>
      </c>
      <c r="C198" s="51"/>
      <c r="D198" s="51"/>
      <c r="E198" s="51"/>
      <c r="F198" s="51"/>
      <c r="G198" s="51"/>
      <c r="H198" s="51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4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</row>
    <row r="199" spans="1:60" ht="14.25">
      <c r="A199" s="85">
        <f t="shared" si="13"/>
        <v>199</v>
      </c>
      <c r="C199" s="51"/>
      <c r="D199" s="51"/>
      <c r="E199" s="51"/>
      <c r="F199" s="51"/>
      <c r="G199" s="51"/>
      <c r="H199" s="51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48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</row>
    <row r="200" spans="1:60" ht="14.25">
      <c r="A200" s="85">
        <f t="shared" si="13"/>
        <v>200</v>
      </c>
      <c r="C200" s="51"/>
      <c r="D200" s="51"/>
      <c r="E200" s="51"/>
      <c r="F200" s="51"/>
      <c r="G200" s="51"/>
      <c r="H200" s="51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48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</row>
    <row r="201" spans="1:60" ht="14.25">
      <c r="A201" s="85">
        <f t="shared" si="13"/>
        <v>201</v>
      </c>
      <c r="C201" s="51"/>
      <c r="D201" s="51"/>
      <c r="E201" s="51"/>
      <c r="F201" s="51"/>
      <c r="G201" s="51"/>
      <c r="H201" s="51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48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1:60" ht="14.25">
      <c r="C202" s="51"/>
      <c r="D202" s="51"/>
      <c r="E202" s="51"/>
      <c r="F202" s="51"/>
      <c r="G202" s="51"/>
      <c r="H202" s="51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48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1:60" ht="14.25">
      <c r="C203" s="51"/>
      <c r="D203" s="51"/>
      <c r="E203" s="51"/>
      <c r="F203" s="51"/>
      <c r="G203" s="51"/>
      <c r="H203" s="51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48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1:60" ht="14.25">
      <c r="C204" s="51"/>
      <c r="D204" s="51"/>
      <c r="E204" s="51"/>
      <c r="F204" s="51"/>
      <c r="G204" s="51"/>
      <c r="H204" s="51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48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</row>
    <row r="205" spans="1:60" ht="14.25">
      <c r="C205" s="51"/>
      <c r="D205" s="51"/>
      <c r="E205" s="51"/>
      <c r="F205" s="51"/>
      <c r="G205" s="51"/>
      <c r="H205" s="51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3"/>
      <c r="AN205" s="53"/>
      <c r="AO205" s="53"/>
      <c r="AP205" s="53"/>
    </row>
    <row r="206" spans="1:60" ht="14.25">
      <c r="C206" s="51"/>
      <c r="D206" s="51"/>
      <c r="E206" s="51"/>
      <c r="F206" s="51"/>
      <c r="G206" s="51"/>
      <c r="H206" s="51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3"/>
      <c r="AN206" s="53"/>
      <c r="AO206" s="53"/>
      <c r="AP206" s="53"/>
    </row>
    <row r="207" spans="1:60" ht="14.25">
      <c r="C207" s="51"/>
      <c r="D207" s="51"/>
      <c r="E207" s="51"/>
      <c r="F207" s="51"/>
      <c r="G207" s="51"/>
      <c r="H207" s="51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3"/>
      <c r="AN207" s="53"/>
      <c r="AO207" s="53"/>
      <c r="AP207" s="53"/>
    </row>
    <row r="208" spans="1:60" ht="14.25">
      <c r="C208" s="51"/>
      <c r="D208" s="51"/>
      <c r="E208" s="51"/>
      <c r="F208" s="51"/>
      <c r="G208" s="51"/>
      <c r="H208" s="51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3"/>
      <c r="AN208" s="53"/>
      <c r="AO208" s="53"/>
      <c r="AP208" s="53"/>
    </row>
    <row r="209" spans="3:42" ht="14.25">
      <c r="C209" s="51"/>
      <c r="D209" s="51"/>
      <c r="E209" s="51"/>
      <c r="F209" s="51"/>
      <c r="G209" s="51"/>
      <c r="H209" s="51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3"/>
      <c r="AN209" s="53"/>
      <c r="AO209" s="53"/>
      <c r="AP209" s="53"/>
    </row>
    <row r="210" spans="3:42" ht="14.25">
      <c r="C210" s="51"/>
      <c r="D210" s="51"/>
      <c r="E210" s="51"/>
      <c r="F210" s="51"/>
      <c r="G210" s="51"/>
      <c r="H210" s="51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3"/>
      <c r="AN210" s="53"/>
      <c r="AO210" s="53"/>
      <c r="AP210" s="53"/>
    </row>
    <row r="211" spans="3:42" ht="14.25">
      <c r="C211" s="51"/>
      <c r="D211" s="51"/>
      <c r="E211" s="51"/>
      <c r="F211" s="51"/>
      <c r="G211" s="51"/>
      <c r="H211" s="51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3"/>
      <c r="AN211" s="53"/>
      <c r="AO211" s="53"/>
      <c r="AP211" s="53"/>
    </row>
    <row r="212" spans="3:42" ht="14.25">
      <c r="C212" s="51"/>
      <c r="D212" s="51"/>
      <c r="E212" s="51"/>
      <c r="F212" s="51"/>
      <c r="G212" s="51"/>
      <c r="H212" s="51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3"/>
      <c r="AN212" s="53"/>
      <c r="AO212" s="53"/>
      <c r="AP212" s="53"/>
    </row>
    <row r="213" spans="3:42" ht="14.25">
      <c r="C213" s="51"/>
      <c r="D213" s="51"/>
      <c r="E213" s="51"/>
      <c r="F213" s="51"/>
      <c r="G213" s="51"/>
      <c r="H213" s="51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3"/>
      <c r="AN213" s="53"/>
      <c r="AO213" s="53"/>
      <c r="AP213" s="53"/>
    </row>
    <row r="214" spans="3:42" ht="14.25">
      <c r="C214" s="51"/>
      <c r="D214" s="51"/>
      <c r="E214" s="51"/>
      <c r="F214" s="51"/>
      <c r="G214" s="51"/>
      <c r="H214" s="51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3"/>
      <c r="AN214" s="53"/>
      <c r="AO214" s="53"/>
      <c r="AP214" s="53"/>
    </row>
    <row r="215" spans="3:42" ht="14.25">
      <c r="C215" s="51"/>
      <c r="D215" s="51"/>
      <c r="E215" s="51"/>
      <c r="F215" s="51"/>
      <c r="G215" s="51"/>
      <c r="H215" s="51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3"/>
      <c r="AN215" s="53"/>
      <c r="AO215" s="53"/>
      <c r="AP215" s="53"/>
    </row>
    <row r="216" spans="3:42" ht="14.25">
      <c r="C216" s="51"/>
      <c r="D216" s="51"/>
      <c r="E216" s="51"/>
      <c r="F216" s="51"/>
      <c r="G216" s="51"/>
      <c r="H216" s="51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3"/>
      <c r="AN216" s="53"/>
      <c r="AO216" s="53"/>
      <c r="AP216" s="53"/>
    </row>
    <row r="217" spans="3:42" ht="14.25">
      <c r="C217" s="51"/>
      <c r="D217" s="51"/>
      <c r="E217" s="51"/>
      <c r="F217" s="51"/>
      <c r="G217" s="51"/>
      <c r="H217" s="51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3"/>
      <c r="AN217" s="53"/>
      <c r="AO217" s="53"/>
      <c r="AP217" s="53"/>
    </row>
    <row r="218" spans="3:42" ht="14.25">
      <c r="C218" s="51"/>
      <c r="D218" s="51"/>
      <c r="E218" s="51"/>
      <c r="F218" s="51"/>
      <c r="G218" s="51"/>
      <c r="H218" s="51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3"/>
      <c r="AN218" s="53"/>
      <c r="AO218" s="53"/>
      <c r="AP218" s="53"/>
    </row>
    <row r="219" spans="3:42" ht="14.25">
      <c r="C219" s="51"/>
      <c r="D219" s="51"/>
      <c r="E219" s="51"/>
      <c r="F219" s="51"/>
      <c r="G219" s="51"/>
      <c r="H219" s="51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3"/>
      <c r="AN219" s="53"/>
      <c r="AO219" s="53"/>
      <c r="AP219" s="53"/>
    </row>
    <row r="220" spans="3:42" ht="14.25">
      <c r="C220" s="51"/>
      <c r="D220" s="51"/>
      <c r="E220" s="51"/>
      <c r="F220" s="51"/>
      <c r="G220" s="51"/>
      <c r="H220" s="51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3"/>
      <c r="AN220" s="53"/>
      <c r="AO220" s="53"/>
      <c r="AP220" s="53"/>
    </row>
    <row r="221" spans="3:42" ht="14.25">
      <c r="C221" s="51"/>
      <c r="D221" s="51"/>
      <c r="E221" s="51"/>
      <c r="F221" s="51"/>
      <c r="G221" s="51"/>
      <c r="H221" s="51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3"/>
      <c r="AN221" s="53"/>
      <c r="AO221" s="53"/>
      <c r="AP221" s="53"/>
    </row>
    <row r="222" spans="3:42" ht="14.25">
      <c r="C222" s="51"/>
      <c r="D222" s="51"/>
      <c r="E222" s="51"/>
      <c r="F222" s="51"/>
      <c r="G222" s="51"/>
      <c r="H222" s="51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3"/>
      <c r="AN222" s="53"/>
      <c r="AO222" s="53"/>
      <c r="AP222" s="53"/>
    </row>
    <row r="223" spans="3:42" ht="14.25">
      <c r="C223" s="51"/>
      <c r="D223" s="51"/>
      <c r="E223" s="51"/>
      <c r="F223" s="51"/>
      <c r="G223" s="51"/>
      <c r="H223" s="51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3"/>
      <c r="AN223" s="53"/>
      <c r="AO223" s="53"/>
      <c r="AP223" s="53"/>
    </row>
    <row r="224" spans="3:42" ht="14.25">
      <c r="C224" s="51"/>
      <c r="D224" s="51"/>
      <c r="E224" s="51"/>
      <c r="F224" s="51"/>
      <c r="G224" s="51"/>
      <c r="H224" s="51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3"/>
      <c r="AN224" s="53"/>
      <c r="AO224" s="53"/>
      <c r="AP224" s="53"/>
    </row>
    <row r="225" spans="3:42" ht="14.25">
      <c r="C225" s="51"/>
      <c r="D225" s="51"/>
      <c r="E225" s="51"/>
      <c r="F225" s="51"/>
      <c r="G225" s="51"/>
      <c r="H225" s="51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3"/>
      <c r="AN225" s="53"/>
      <c r="AO225" s="53"/>
      <c r="AP225" s="53"/>
    </row>
    <row r="226" spans="3:42" ht="14.25">
      <c r="C226" s="51"/>
      <c r="D226" s="51"/>
      <c r="E226" s="51"/>
      <c r="F226" s="51"/>
      <c r="G226" s="51"/>
      <c r="H226" s="51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3"/>
      <c r="AN226" s="53"/>
      <c r="AO226" s="53"/>
      <c r="AP226" s="53"/>
    </row>
    <row r="227" spans="3:42" ht="14.25">
      <c r="C227" s="21"/>
      <c r="D227" s="21"/>
      <c r="E227" s="21"/>
      <c r="F227" s="21"/>
      <c r="G227" s="21"/>
      <c r="H227" s="21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</row>
    <row r="228" spans="3:42" ht="14.25">
      <c r="C228" s="21"/>
      <c r="D228" s="21"/>
      <c r="E228" s="21"/>
      <c r="F228" s="21"/>
      <c r="G228" s="21"/>
      <c r="H228" s="21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</row>
    <row r="229" spans="3:42" ht="14.25">
      <c r="C229" s="21"/>
      <c r="D229" s="21"/>
      <c r="E229" s="21"/>
      <c r="F229" s="21"/>
      <c r="G229" s="21"/>
      <c r="H229" s="21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3:42" ht="14.25">
      <c r="C230" s="21"/>
      <c r="D230" s="21"/>
      <c r="E230" s="21"/>
      <c r="F230" s="21"/>
      <c r="G230" s="21"/>
      <c r="H230" s="21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</row>
    <row r="231" spans="3:42" ht="14.25">
      <c r="C231" s="21"/>
      <c r="D231" s="21"/>
      <c r="E231" s="21"/>
      <c r="F231" s="21"/>
      <c r="G231" s="21"/>
      <c r="H231" s="21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</row>
    <row r="232" spans="3:42" ht="14.25">
      <c r="C232" s="21"/>
      <c r="D232" s="21"/>
      <c r="E232" s="21"/>
      <c r="F232" s="21"/>
      <c r="G232" s="21"/>
      <c r="H232" s="21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</row>
    <row r="233" spans="3:42" ht="14.25">
      <c r="C233" s="21"/>
      <c r="D233" s="21"/>
      <c r="E233" s="21"/>
      <c r="F233" s="21"/>
      <c r="G233" s="21"/>
      <c r="H233" s="21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</row>
    <row r="234" spans="3:42" ht="14.25">
      <c r="C234" s="21"/>
      <c r="D234" s="21"/>
      <c r="E234" s="21"/>
      <c r="F234" s="21"/>
      <c r="G234" s="21"/>
      <c r="H234" s="21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</row>
    <row r="235" spans="3:42" ht="14.25">
      <c r="C235" s="21"/>
      <c r="D235" s="21"/>
      <c r="E235" s="21"/>
      <c r="F235" s="21"/>
      <c r="G235" s="21"/>
      <c r="H235" s="21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</row>
    <row r="236" spans="3:42" ht="14.25">
      <c r="C236" s="21"/>
      <c r="D236" s="21"/>
      <c r="E236" s="21"/>
      <c r="F236" s="21"/>
      <c r="G236" s="21"/>
      <c r="H236" s="21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</row>
    <row r="237" spans="3:42" ht="14.25">
      <c r="C237" s="21"/>
      <c r="D237" s="21"/>
      <c r="E237" s="21"/>
      <c r="F237" s="21"/>
      <c r="G237" s="21"/>
      <c r="H237" s="21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</row>
    <row r="238" spans="3:42" ht="14.25">
      <c r="C238" s="21"/>
      <c r="D238" s="21"/>
      <c r="E238" s="21"/>
      <c r="F238" s="21"/>
      <c r="G238" s="21"/>
      <c r="H238" s="21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</row>
    <row r="239" spans="3:42" ht="14.25">
      <c r="C239" s="21"/>
      <c r="D239" s="21"/>
      <c r="E239" s="21"/>
      <c r="F239" s="21"/>
      <c r="G239" s="21"/>
      <c r="H239" s="21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</row>
    <row r="240" spans="3:42" ht="14.25">
      <c r="C240" s="21"/>
      <c r="D240" s="21"/>
      <c r="E240" s="21"/>
      <c r="F240" s="21"/>
      <c r="G240" s="21"/>
      <c r="H240" s="21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3:38" ht="14.25">
      <c r="C241" s="21"/>
      <c r="D241" s="21"/>
      <c r="E241" s="21"/>
      <c r="F241" s="21"/>
      <c r="G241" s="21"/>
      <c r="H241" s="21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</row>
    <row r="242" spans="3:38" ht="14.25">
      <c r="C242" s="21"/>
      <c r="D242" s="21"/>
      <c r="E242" s="21"/>
      <c r="F242" s="21"/>
      <c r="G242" s="21"/>
      <c r="H242" s="21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</row>
    <row r="243" spans="3:38" ht="14.25">
      <c r="C243" s="21"/>
      <c r="D243" s="21"/>
      <c r="E243" s="21"/>
      <c r="F243" s="21"/>
      <c r="G243" s="21"/>
      <c r="H243" s="21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</row>
    <row r="244" spans="3:38" ht="14.25">
      <c r="C244" s="21"/>
      <c r="D244" s="21"/>
      <c r="E244" s="21"/>
      <c r="F244" s="21"/>
      <c r="G244" s="21"/>
      <c r="H244" s="21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</row>
    <row r="245" spans="3:38" ht="14.25">
      <c r="C245" s="21"/>
      <c r="D245" s="21"/>
      <c r="E245" s="21"/>
      <c r="F245" s="21"/>
      <c r="G245" s="21"/>
      <c r="H245" s="21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</row>
    <row r="246" spans="3:38" ht="14.25">
      <c r="C246" s="21"/>
      <c r="D246" s="21"/>
      <c r="E246" s="21"/>
      <c r="F246" s="21"/>
      <c r="G246" s="21"/>
      <c r="H246" s="21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</row>
    <row r="247" spans="3:38" ht="14.25">
      <c r="C247" s="21"/>
      <c r="D247" s="21"/>
      <c r="E247" s="21"/>
      <c r="F247" s="21"/>
      <c r="G247" s="21"/>
      <c r="H247" s="21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</row>
    <row r="248" spans="3:38" ht="14.25">
      <c r="C248" s="21"/>
      <c r="D248" s="21"/>
      <c r="E248" s="21"/>
      <c r="F248" s="21"/>
      <c r="G248" s="21"/>
      <c r="H248" s="21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</row>
    <row r="249" spans="3:38" ht="14.25">
      <c r="C249" s="21"/>
      <c r="D249" s="21"/>
      <c r="E249" s="21"/>
      <c r="F249" s="21"/>
      <c r="G249" s="21"/>
      <c r="H249" s="21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</row>
    <row r="250" spans="3:38" ht="14.25">
      <c r="C250" s="21"/>
      <c r="D250" s="21"/>
      <c r="E250" s="21"/>
      <c r="F250" s="21"/>
      <c r="G250" s="21"/>
      <c r="H250" s="21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</row>
    <row r="251" spans="3:38" ht="14.25">
      <c r="C251" s="21"/>
      <c r="D251" s="21"/>
      <c r="E251" s="21"/>
      <c r="F251" s="21"/>
      <c r="G251" s="21"/>
      <c r="H251" s="21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</row>
    <row r="252" spans="3:38" ht="14.25">
      <c r="C252" s="21"/>
      <c r="D252" s="21"/>
      <c r="E252" s="21"/>
      <c r="F252" s="21"/>
      <c r="G252" s="21"/>
      <c r="H252" s="21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</row>
    <row r="253" spans="3:38" ht="14.25">
      <c r="C253" s="21"/>
      <c r="D253" s="21"/>
      <c r="E253" s="21"/>
      <c r="F253" s="21"/>
      <c r="G253" s="21"/>
      <c r="H253" s="21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</row>
    <row r="254" spans="3:38" ht="14.25">
      <c r="C254" s="21"/>
      <c r="D254" s="21"/>
      <c r="E254" s="21"/>
      <c r="F254" s="21"/>
      <c r="G254" s="21"/>
      <c r="H254" s="21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</row>
    <row r="255" spans="3:38" ht="14.25">
      <c r="C255" s="21"/>
      <c r="D255" s="21"/>
      <c r="E255" s="21"/>
      <c r="F255" s="21"/>
      <c r="G255" s="21"/>
      <c r="H255" s="21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3:38" ht="14.25">
      <c r="C256" s="21"/>
      <c r="D256" s="21"/>
      <c r="E256" s="21"/>
      <c r="F256" s="21"/>
      <c r="G256" s="21"/>
      <c r="H256" s="21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3:38" ht="14.25">
      <c r="C257" s="21"/>
      <c r="D257" s="21"/>
      <c r="E257" s="21"/>
      <c r="F257" s="21"/>
      <c r="G257" s="21"/>
      <c r="H257" s="21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3:38" ht="14.25">
      <c r="C258" s="21"/>
      <c r="D258" s="21"/>
      <c r="E258" s="21"/>
      <c r="F258" s="21"/>
      <c r="G258" s="21"/>
      <c r="H258" s="21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3:38" ht="14.25">
      <c r="C259" s="21"/>
      <c r="D259" s="21"/>
      <c r="E259" s="21"/>
      <c r="F259" s="21"/>
      <c r="G259" s="21"/>
      <c r="H259" s="21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</row>
    <row r="260" spans="3:38" ht="14.25">
      <c r="C260" s="21"/>
      <c r="D260" s="21"/>
      <c r="E260" s="21"/>
      <c r="F260" s="21"/>
      <c r="G260" s="21"/>
      <c r="H260" s="21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</row>
    <row r="261" spans="3:38" ht="14.25">
      <c r="C261" s="21"/>
      <c r="D261" s="21"/>
      <c r="E261" s="21"/>
      <c r="F261" s="21"/>
      <c r="G261" s="21"/>
      <c r="H261" s="21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</row>
    <row r="262" spans="3:38" ht="14.25">
      <c r="C262" s="21"/>
      <c r="D262" s="21"/>
      <c r="E262" s="21"/>
      <c r="F262" s="21"/>
      <c r="G262" s="21"/>
      <c r="H262" s="21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</row>
    <row r="263" spans="3:38" ht="14.25">
      <c r="C263" s="21"/>
      <c r="D263" s="21"/>
      <c r="E263" s="21"/>
      <c r="F263" s="21"/>
      <c r="G263" s="21"/>
      <c r="H263" s="21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3:38" ht="14.25">
      <c r="C264" s="21"/>
      <c r="D264" s="21"/>
      <c r="E264" s="21"/>
      <c r="F264" s="21"/>
      <c r="G264" s="21"/>
      <c r="H264" s="21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</row>
    <row r="265" spans="3:38" ht="14.25">
      <c r="C265" s="21"/>
      <c r="D265" s="21"/>
      <c r="E265" s="21"/>
      <c r="F265" s="21"/>
      <c r="G265" s="21"/>
      <c r="H265" s="21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</row>
    <row r="266" spans="3:38" ht="14.25">
      <c r="C266" s="21"/>
      <c r="D266" s="21"/>
      <c r="E266" s="21"/>
      <c r="F266" s="21"/>
      <c r="G266" s="21"/>
      <c r="H266" s="21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</row>
    <row r="267" spans="3:38" ht="14.25">
      <c r="C267" s="21"/>
      <c r="D267" s="21"/>
      <c r="E267" s="21"/>
      <c r="F267" s="21"/>
      <c r="G267" s="21"/>
      <c r="H267" s="21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</row>
    <row r="268" spans="3:38" ht="14.25">
      <c r="C268" s="21"/>
      <c r="D268" s="21"/>
      <c r="E268" s="21"/>
      <c r="F268" s="21"/>
      <c r="G268" s="21"/>
      <c r="H268" s="21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</row>
    <row r="269" spans="3:38" ht="14.25">
      <c r="C269" s="21"/>
      <c r="D269" s="21"/>
      <c r="E269" s="21"/>
      <c r="F269" s="21"/>
      <c r="G269" s="21"/>
      <c r="H269" s="21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3:38" ht="14.25">
      <c r="C270" s="21"/>
      <c r="D270" s="21"/>
      <c r="E270" s="21"/>
      <c r="F270" s="21"/>
      <c r="G270" s="21"/>
      <c r="H270" s="21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3:38" ht="14.25">
      <c r="C271" s="21"/>
      <c r="D271" s="21"/>
      <c r="E271" s="21"/>
      <c r="F271" s="21"/>
      <c r="G271" s="21"/>
      <c r="H271" s="21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3:38" ht="14.25">
      <c r="C272" s="21"/>
      <c r="D272" s="21"/>
      <c r="E272" s="21"/>
      <c r="F272" s="21"/>
      <c r="G272" s="21"/>
      <c r="H272" s="21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</row>
    <row r="273" spans="3:38" ht="14.25">
      <c r="C273" s="21"/>
      <c r="D273" s="21"/>
      <c r="E273" s="21"/>
      <c r="F273" s="21"/>
      <c r="G273" s="21"/>
      <c r="H273" s="21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3:38" ht="14.25">
      <c r="C274" s="21"/>
      <c r="D274" s="21"/>
      <c r="E274" s="21"/>
      <c r="F274" s="21"/>
      <c r="G274" s="21"/>
      <c r="H274" s="21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3:38" ht="14.25">
      <c r="C275" s="21"/>
      <c r="D275" s="21"/>
      <c r="E275" s="21"/>
      <c r="F275" s="21"/>
      <c r="G275" s="21"/>
      <c r="H275" s="21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3:38" ht="14.25">
      <c r="C276" s="21"/>
      <c r="D276" s="21"/>
      <c r="E276" s="21"/>
      <c r="F276" s="21"/>
      <c r="G276" s="21"/>
      <c r="H276" s="21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</row>
    <row r="277" spans="3:38" ht="14.25">
      <c r="C277" s="21"/>
      <c r="D277" s="21"/>
      <c r="E277" s="21"/>
      <c r="F277" s="21"/>
      <c r="G277" s="21"/>
      <c r="H277" s="21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3:38" ht="14.25">
      <c r="C278" s="21"/>
      <c r="D278" s="21"/>
      <c r="E278" s="21"/>
      <c r="F278" s="21"/>
      <c r="G278" s="21"/>
      <c r="H278" s="21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</row>
    <row r="279" spans="3:38" ht="14.25">
      <c r="C279" s="21"/>
      <c r="D279" s="21"/>
      <c r="E279" s="21"/>
      <c r="F279" s="21"/>
      <c r="G279" s="21"/>
      <c r="H279" s="21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3:38" ht="14.25">
      <c r="C280" s="21"/>
      <c r="D280" s="21"/>
      <c r="E280" s="21"/>
      <c r="F280" s="21"/>
      <c r="G280" s="21"/>
      <c r="H280" s="21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</row>
    <row r="281" spans="3:38" ht="14.25">
      <c r="C281" s="21"/>
      <c r="D281" s="21"/>
      <c r="E281" s="21"/>
      <c r="F281" s="21"/>
      <c r="G281" s="21"/>
      <c r="H281" s="21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3:38" ht="14.25">
      <c r="C282" s="21"/>
      <c r="D282" s="21"/>
      <c r="E282" s="21"/>
      <c r="F282" s="21"/>
      <c r="G282" s="21"/>
      <c r="H282" s="21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</row>
    <row r="283" spans="3:38" ht="14.25">
      <c r="C283" s="21"/>
      <c r="D283" s="21"/>
      <c r="E283" s="21"/>
      <c r="F283" s="21"/>
      <c r="G283" s="21"/>
      <c r="H283" s="21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</row>
    <row r="284" spans="3:38" ht="14.25">
      <c r="C284" s="21"/>
      <c r="D284" s="21"/>
      <c r="E284" s="21"/>
      <c r="F284" s="21"/>
      <c r="G284" s="21"/>
      <c r="H284" s="21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</row>
    <row r="285" spans="3:38" ht="14.25">
      <c r="C285" s="21"/>
      <c r="D285" s="21"/>
      <c r="E285" s="21"/>
      <c r="F285" s="21"/>
      <c r="G285" s="21"/>
      <c r="H285" s="21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</row>
    <row r="286" spans="3:38" ht="14.25">
      <c r="C286" s="21"/>
      <c r="D286" s="21"/>
      <c r="E286" s="21"/>
      <c r="F286" s="21"/>
      <c r="G286" s="21"/>
      <c r="H286" s="21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3:38" ht="14.25">
      <c r="C287" s="21"/>
      <c r="D287" s="21"/>
      <c r="E287" s="21"/>
      <c r="F287" s="21"/>
      <c r="G287" s="21"/>
      <c r="H287" s="21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</row>
    <row r="288" spans="3:38" ht="14.25">
      <c r="C288" s="21"/>
      <c r="D288" s="21"/>
      <c r="E288" s="21"/>
      <c r="F288" s="21"/>
      <c r="G288" s="21"/>
      <c r="H288" s="21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</row>
    <row r="289" spans="3:38" ht="14.25">
      <c r="C289" s="21"/>
      <c r="D289" s="21"/>
      <c r="E289" s="21"/>
      <c r="F289" s="21"/>
      <c r="G289" s="21"/>
      <c r="H289" s="21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</row>
    <row r="290" spans="3:38" ht="14.25">
      <c r="C290" s="21"/>
      <c r="D290" s="21"/>
      <c r="E290" s="21"/>
      <c r="F290" s="21"/>
      <c r="G290" s="21"/>
      <c r="H290" s="21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</row>
    <row r="291" spans="3:38" ht="14.25">
      <c r="C291" s="21"/>
      <c r="D291" s="21"/>
      <c r="E291" s="21"/>
      <c r="F291" s="21"/>
      <c r="G291" s="21"/>
      <c r="H291" s="21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</row>
    <row r="292" spans="3:38" ht="14.25">
      <c r="C292" s="21"/>
      <c r="D292" s="21"/>
      <c r="E292" s="21"/>
      <c r="F292" s="21"/>
      <c r="G292" s="21"/>
      <c r="H292" s="21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</row>
    <row r="293" spans="3:38" ht="14.25">
      <c r="C293" s="21"/>
      <c r="D293" s="21"/>
      <c r="E293" s="21"/>
      <c r="F293" s="21"/>
      <c r="G293" s="21"/>
      <c r="H293" s="21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</row>
    <row r="294" spans="3:38" ht="14.25">
      <c r="C294" s="21"/>
      <c r="D294" s="21"/>
      <c r="E294" s="21"/>
      <c r="F294" s="21"/>
      <c r="G294" s="21"/>
      <c r="H294" s="21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</row>
    <row r="295" spans="3:38" ht="14.25">
      <c r="C295" s="21"/>
      <c r="D295" s="21"/>
      <c r="E295" s="21"/>
      <c r="F295" s="21"/>
      <c r="G295" s="21"/>
      <c r="H295" s="21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</row>
    <row r="296" spans="3:38" ht="14.25">
      <c r="C296" s="21"/>
      <c r="D296" s="21"/>
      <c r="E296" s="21"/>
      <c r="F296" s="21"/>
      <c r="G296" s="21"/>
      <c r="H296" s="21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</row>
    <row r="297" spans="3:38" ht="14.25">
      <c r="C297" s="21"/>
      <c r="D297" s="21"/>
      <c r="E297" s="21"/>
      <c r="F297" s="21"/>
      <c r="G297" s="21"/>
      <c r="H297" s="21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</row>
    <row r="298" spans="3:38" ht="14.25">
      <c r="C298" s="21"/>
      <c r="D298" s="21"/>
      <c r="E298" s="21"/>
      <c r="F298" s="21"/>
      <c r="G298" s="21"/>
      <c r="H298" s="21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</row>
    <row r="299" spans="3:38" ht="14.25">
      <c r="C299" s="21"/>
      <c r="D299" s="21"/>
      <c r="E299" s="21"/>
      <c r="F299" s="21"/>
      <c r="G299" s="21"/>
      <c r="H299" s="21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</row>
    <row r="300" spans="3:38" ht="14.25">
      <c r="C300" s="21"/>
      <c r="D300" s="21"/>
      <c r="E300" s="21"/>
      <c r="F300" s="21"/>
      <c r="G300" s="21"/>
      <c r="H300" s="21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</row>
    <row r="301" spans="3:38" ht="14.25">
      <c r="C301" s="21"/>
      <c r="D301" s="21"/>
      <c r="E301" s="21"/>
      <c r="F301" s="21"/>
      <c r="G301" s="21"/>
      <c r="H301" s="21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</row>
    <row r="302" spans="3:38" ht="14.25">
      <c r="C302" s="21"/>
      <c r="D302" s="21"/>
      <c r="E302" s="21"/>
      <c r="F302" s="21"/>
      <c r="G302" s="21"/>
      <c r="H302" s="21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</row>
    <row r="303" spans="3:38" ht="14.25">
      <c r="C303" s="21"/>
      <c r="D303" s="21"/>
      <c r="E303" s="21"/>
      <c r="F303" s="21"/>
      <c r="G303" s="21"/>
      <c r="H303" s="21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</row>
    <row r="304" spans="3:38" ht="14.25">
      <c r="C304" s="21"/>
      <c r="D304" s="21"/>
      <c r="E304" s="21"/>
      <c r="F304" s="21"/>
      <c r="G304" s="21"/>
      <c r="H304" s="21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</row>
    <row r="305" spans="3:38" ht="14.25">
      <c r="C305" s="21"/>
      <c r="D305" s="21"/>
      <c r="E305" s="21"/>
      <c r="F305" s="21"/>
      <c r="G305" s="21"/>
      <c r="H305" s="21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</row>
    <row r="306" spans="3:38" ht="14.25">
      <c r="C306" s="21"/>
      <c r="D306" s="21"/>
      <c r="E306" s="21"/>
      <c r="F306" s="21"/>
      <c r="G306" s="21"/>
      <c r="H306" s="21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</row>
    <row r="307" spans="3:38" ht="14.25">
      <c r="C307" s="21"/>
      <c r="D307" s="21"/>
      <c r="E307" s="21"/>
      <c r="F307" s="21"/>
      <c r="G307" s="21"/>
      <c r="H307" s="21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</row>
    <row r="308" spans="3:38" ht="14.25">
      <c r="C308" s="21"/>
      <c r="D308" s="21"/>
      <c r="E308" s="21"/>
      <c r="F308" s="21"/>
      <c r="G308" s="21"/>
      <c r="H308" s="21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</row>
    <row r="309" spans="3:38" ht="14.25">
      <c r="C309" s="21"/>
      <c r="D309" s="21"/>
      <c r="E309" s="21"/>
      <c r="F309" s="21"/>
      <c r="G309" s="21"/>
      <c r="H309" s="21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</row>
    <row r="310" spans="3:38" ht="14.25">
      <c r="C310" s="21"/>
      <c r="D310" s="21"/>
      <c r="E310" s="21"/>
      <c r="F310" s="21"/>
      <c r="G310" s="21"/>
      <c r="H310" s="21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</row>
    <row r="311" spans="3:38" ht="14.25">
      <c r="C311" s="21"/>
      <c r="D311" s="21"/>
      <c r="E311" s="21"/>
      <c r="F311" s="21"/>
      <c r="G311" s="21"/>
      <c r="H311" s="21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</row>
    <row r="312" spans="3:38" ht="14.25">
      <c r="C312" s="21"/>
      <c r="D312" s="21"/>
      <c r="E312" s="21"/>
      <c r="F312" s="21"/>
      <c r="G312" s="21"/>
      <c r="H312" s="21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</row>
    <row r="313" spans="3:38" ht="14.25">
      <c r="C313" s="21"/>
      <c r="D313" s="21"/>
      <c r="E313" s="21"/>
      <c r="F313" s="21"/>
      <c r="G313" s="21"/>
      <c r="H313" s="21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</row>
    <row r="314" spans="3:38" ht="14.25">
      <c r="C314" s="21"/>
      <c r="D314" s="21"/>
      <c r="E314" s="21"/>
      <c r="F314" s="21"/>
      <c r="G314" s="21"/>
      <c r="H314" s="21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</row>
    <row r="315" spans="3:38" ht="14.25">
      <c r="C315" s="21"/>
      <c r="D315" s="21"/>
      <c r="E315" s="21"/>
      <c r="F315" s="21"/>
      <c r="G315" s="21"/>
      <c r="H315" s="21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</row>
    <row r="316" spans="3:38" ht="14.25">
      <c r="C316" s="21"/>
      <c r="D316" s="21"/>
      <c r="E316" s="21"/>
      <c r="F316" s="21"/>
      <c r="G316" s="21"/>
      <c r="H316" s="21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</row>
    <row r="317" spans="3:38" ht="14.25">
      <c r="C317" s="21"/>
      <c r="D317" s="21"/>
      <c r="E317" s="21"/>
      <c r="F317" s="21"/>
      <c r="G317" s="21"/>
      <c r="H317" s="21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</row>
    <row r="318" spans="3:38" ht="14.25">
      <c r="C318" s="21"/>
      <c r="D318" s="21"/>
      <c r="E318" s="21"/>
      <c r="F318" s="21"/>
      <c r="G318" s="21"/>
      <c r="H318" s="21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</row>
    <row r="319" spans="3:38" ht="14.25">
      <c r="C319" s="21"/>
      <c r="D319" s="21"/>
      <c r="E319" s="21"/>
      <c r="F319" s="21"/>
      <c r="G319" s="21"/>
      <c r="H319" s="21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</row>
    <row r="320" spans="3:38" ht="14.25">
      <c r="C320" s="21"/>
      <c r="D320" s="21"/>
      <c r="E320" s="21"/>
      <c r="F320" s="21"/>
      <c r="G320" s="21"/>
      <c r="H320" s="21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</row>
    <row r="321" spans="3:38" ht="14.25">
      <c r="C321" s="21"/>
      <c r="D321" s="21"/>
      <c r="E321" s="21"/>
      <c r="F321" s="21"/>
      <c r="G321" s="21"/>
      <c r="H321" s="21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</row>
    <row r="322" spans="3:38" ht="14.25">
      <c r="C322" s="21"/>
      <c r="D322" s="21"/>
      <c r="E322" s="21"/>
      <c r="F322" s="21"/>
      <c r="G322" s="21"/>
      <c r="H322" s="21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</row>
    <row r="323" spans="3:38" ht="14.25">
      <c r="C323" s="21"/>
      <c r="D323" s="21"/>
      <c r="E323" s="21"/>
      <c r="F323" s="21"/>
      <c r="G323" s="21"/>
      <c r="H323" s="21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</row>
    <row r="324" spans="3:38" ht="14.25">
      <c r="C324" s="21"/>
      <c r="D324" s="21"/>
      <c r="E324" s="21"/>
      <c r="F324" s="21"/>
      <c r="G324" s="21"/>
      <c r="H324" s="21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</row>
    <row r="325" spans="3:38" ht="14.25">
      <c r="C325" s="21"/>
      <c r="D325" s="21"/>
      <c r="E325" s="21"/>
      <c r="F325" s="21"/>
      <c r="G325" s="21"/>
      <c r="H325" s="21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</row>
    <row r="326" spans="3:38" ht="14.25">
      <c r="C326" s="21"/>
      <c r="D326" s="21"/>
      <c r="E326" s="21"/>
      <c r="F326" s="21"/>
      <c r="G326" s="21"/>
      <c r="H326" s="21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</row>
    <row r="327" spans="3:38" ht="14.25">
      <c r="C327" s="21"/>
      <c r="D327" s="21"/>
      <c r="E327" s="21"/>
      <c r="F327" s="21"/>
      <c r="G327" s="21"/>
      <c r="H327" s="21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</row>
    <row r="328" spans="3:38" ht="14.25">
      <c r="C328" s="21"/>
      <c r="D328" s="21"/>
      <c r="E328" s="21"/>
      <c r="F328" s="21"/>
      <c r="G328" s="21"/>
      <c r="H328" s="21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</row>
    <row r="329" spans="3:38" ht="14.25">
      <c r="C329" s="21"/>
      <c r="D329" s="21"/>
      <c r="E329" s="21"/>
      <c r="F329" s="21"/>
      <c r="G329" s="21"/>
      <c r="H329" s="21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</row>
    <row r="330" spans="3:38" ht="14.25">
      <c r="C330" s="21"/>
      <c r="D330" s="21"/>
      <c r="E330" s="21"/>
      <c r="F330" s="21"/>
      <c r="G330" s="21"/>
      <c r="H330" s="21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</row>
    <row r="331" spans="3:38" ht="14.25">
      <c r="C331" s="21"/>
      <c r="D331" s="21"/>
      <c r="E331" s="21"/>
      <c r="F331" s="21"/>
      <c r="G331" s="21"/>
      <c r="H331" s="21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</row>
    <row r="332" spans="3:38" ht="14.25">
      <c r="C332" s="21"/>
      <c r="D332" s="21"/>
      <c r="E332" s="21"/>
      <c r="F332" s="21"/>
      <c r="G332" s="21"/>
      <c r="H332" s="21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</row>
    <row r="333" spans="3:38" ht="14.25">
      <c r="C333" s="21"/>
      <c r="D333" s="21"/>
      <c r="E333" s="21"/>
      <c r="F333" s="21"/>
      <c r="G333" s="21"/>
      <c r="H333" s="21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</row>
    <row r="334" spans="3:38" ht="14.25">
      <c r="C334" s="21"/>
      <c r="D334" s="21"/>
      <c r="E334" s="21"/>
      <c r="F334" s="21"/>
      <c r="G334" s="21"/>
      <c r="H334" s="21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</row>
    <row r="335" spans="3:38" ht="14.25">
      <c r="C335" s="21"/>
      <c r="D335" s="21"/>
      <c r="E335" s="21"/>
      <c r="F335" s="21"/>
      <c r="G335" s="21"/>
      <c r="H335" s="21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</row>
    <row r="336" spans="3:38" ht="14.25">
      <c r="C336" s="21"/>
      <c r="D336" s="21"/>
      <c r="E336" s="21"/>
      <c r="F336" s="21"/>
      <c r="G336" s="21"/>
      <c r="H336" s="21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</row>
    <row r="337" spans="3:38" ht="14.25">
      <c r="C337" s="21"/>
      <c r="D337" s="21"/>
      <c r="E337" s="21"/>
      <c r="F337" s="21"/>
      <c r="G337" s="21"/>
      <c r="H337" s="21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</row>
    <row r="338" spans="3:38" ht="14.25">
      <c r="C338" s="21"/>
      <c r="D338" s="21"/>
      <c r="E338" s="21"/>
      <c r="F338" s="21"/>
      <c r="G338" s="21"/>
      <c r="H338" s="21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</row>
    <row r="339" spans="3:38" ht="14.25">
      <c r="C339" s="21"/>
      <c r="D339" s="21"/>
      <c r="E339" s="21"/>
      <c r="F339" s="21"/>
      <c r="G339" s="21"/>
      <c r="H339" s="21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</row>
    <row r="340" spans="3:38" ht="14.25">
      <c r="C340" s="21"/>
      <c r="D340" s="21"/>
      <c r="E340" s="21"/>
      <c r="F340" s="21"/>
      <c r="G340" s="21"/>
      <c r="H340" s="21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</row>
    <row r="341" spans="3:38" ht="14.25">
      <c r="C341" s="21"/>
      <c r="D341" s="21"/>
      <c r="E341" s="21"/>
      <c r="F341" s="21"/>
      <c r="G341" s="21"/>
      <c r="H341" s="21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</row>
    <row r="342" spans="3:38" ht="14.25">
      <c r="C342" s="21"/>
      <c r="D342" s="21"/>
      <c r="E342" s="21"/>
      <c r="F342" s="21"/>
      <c r="G342" s="21"/>
      <c r="H342" s="21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</row>
    <row r="343" spans="3:38" ht="14.25">
      <c r="C343" s="21"/>
      <c r="D343" s="21"/>
      <c r="E343" s="21"/>
      <c r="F343" s="21"/>
      <c r="G343" s="21"/>
      <c r="H343" s="21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</row>
  </sheetData>
  <phoneticPr fontId="7" type="noConversion"/>
  <pageMargins left="0.75" right="0.75" top="1" bottom="1" header="0.1" footer="0.5"/>
  <pageSetup orientation="portrait" horizontalDpi="0" verticalDpi="0" r:id="rId1"/>
  <headerFooter alignWithMargins="0">
    <oddHeader>&amp;L&amp;"Arial,Bold"&amp;10 3:26 PM
&amp;"Arial,Bold"&amp;10 07/11/16
&amp;"Arial,Bold"&amp;10 Accrual Basis&amp;C&amp;"Arial,Bold"&amp;10 Democracy Now! Productions, Inc.
&amp;"Arial,Bold"&amp;14 Profit &amp;&amp; Loss by Class
&amp;"Arial,Bold"&amp;10 January 2012 through August 2016</oddHeader>
    <oddFooter>&amp;R&amp;"Arial,Bold"&amp;10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IV343"/>
  <sheetViews>
    <sheetView workbookViewId="0">
      <pane xSplit="8" ySplit="3" topLeftCell="T31" activePane="bottomRight" state="frozenSplit"/>
      <selection activeCell="K47" sqref="K47"/>
      <selection pane="topRight" activeCell="K47" sqref="K47"/>
      <selection pane="bottomLeft" activeCell="K47" sqref="K47"/>
      <selection pane="bottomRight" activeCell="K47" sqref="K47"/>
    </sheetView>
  </sheetViews>
  <sheetFormatPr defaultColWidth="9.1328125" defaultRowHeight="13.15"/>
  <cols>
    <col min="1" max="1" width="9.1328125" style="87"/>
    <col min="2" max="2" width="40.1328125" style="86" customWidth="1"/>
    <col min="3" max="7" width="3" style="19" customWidth="1"/>
    <col min="8" max="8" width="40.1328125" style="19" customWidth="1"/>
    <col min="9" max="13" width="20" style="20" customWidth="1"/>
    <col min="14" max="14" width="14.73046875" style="20" bestFit="1" customWidth="1"/>
    <col min="15" max="15" width="17" style="20" bestFit="1" customWidth="1"/>
    <col min="16" max="16" width="15.86328125" style="20" bestFit="1" customWidth="1"/>
    <col min="17" max="17" width="14" style="20" bestFit="1" customWidth="1"/>
    <col min="18" max="18" width="19.3984375" style="20" bestFit="1" customWidth="1"/>
    <col min="19" max="19" width="12.3984375" style="20" bestFit="1" customWidth="1"/>
    <col min="20" max="20" width="16.59765625" style="20" bestFit="1" customWidth="1"/>
    <col min="21" max="21" width="16.1328125" style="20" bestFit="1" customWidth="1"/>
    <col min="22" max="22" width="19" style="20" bestFit="1" customWidth="1"/>
    <col min="23" max="23" width="12" style="20" bestFit="1" customWidth="1"/>
    <col min="24" max="24" width="16.1328125" style="20" bestFit="1" customWidth="1"/>
    <col min="25" max="27" width="14" style="20" bestFit="1" customWidth="1"/>
    <col min="28" max="28" width="18.1328125" style="20" bestFit="1" customWidth="1"/>
    <col min="29" max="29" width="15.3984375" style="20" bestFit="1" customWidth="1"/>
    <col min="30" max="30" width="19.59765625" style="20" bestFit="1" customWidth="1"/>
    <col min="31" max="32" width="10.3984375" style="20" bestFit="1" customWidth="1"/>
    <col min="33" max="33" width="17.3984375" style="20" bestFit="1" customWidth="1"/>
    <col min="34" max="34" width="15" style="20" bestFit="1" customWidth="1"/>
    <col min="35" max="35" width="16.1328125" style="20" bestFit="1" customWidth="1"/>
    <col min="36" max="36" width="14.59765625" style="20" bestFit="1" customWidth="1"/>
    <col min="37" max="37" width="11.86328125" style="20" bestFit="1" customWidth="1"/>
    <col min="38" max="38" width="11.73046875" style="20" bestFit="1" customWidth="1"/>
    <col min="39" max="39" width="14.59765625" style="17" bestFit="1" customWidth="1"/>
    <col min="40" max="40" width="11.86328125" style="17" bestFit="1" customWidth="1"/>
    <col min="41" max="41" width="11.73046875" style="17" bestFit="1" customWidth="1"/>
    <col min="42" max="16384" width="9.1328125" style="17"/>
  </cols>
  <sheetData>
    <row r="1" spans="1:256" s="87" customFormat="1" ht="12.75">
      <c r="A1" s="85">
        <v>1</v>
      </c>
      <c r="B1" s="85">
        <f t="shared" ref="B1:BM1" si="0">A1+1</f>
        <v>2</v>
      </c>
      <c r="C1" s="85">
        <f t="shared" si="0"/>
        <v>3</v>
      </c>
      <c r="D1" s="85">
        <f t="shared" si="0"/>
        <v>4</v>
      </c>
      <c r="E1" s="85">
        <f t="shared" si="0"/>
        <v>5</v>
      </c>
      <c r="F1" s="85">
        <f t="shared" si="0"/>
        <v>6</v>
      </c>
      <c r="G1" s="85">
        <f t="shared" si="0"/>
        <v>7</v>
      </c>
      <c r="H1" s="85">
        <f t="shared" si="0"/>
        <v>8</v>
      </c>
      <c r="I1" s="85">
        <f t="shared" si="0"/>
        <v>9</v>
      </c>
      <c r="J1" s="85">
        <f t="shared" si="0"/>
        <v>10</v>
      </c>
      <c r="K1" s="85">
        <f t="shared" si="0"/>
        <v>11</v>
      </c>
      <c r="L1" s="85">
        <f t="shared" si="0"/>
        <v>12</v>
      </c>
      <c r="M1" s="85">
        <f t="shared" si="0"/>
        <v>13</v>
      </c>
      <c r="N1" s="85">
        <f t="shared" si="0"/>
        <v>14</v>
      </c>
      <c r="O1" s="85">
        <f t="shared" si="0"/>
        <v>15</v>
      </c>
      <c r="P1" s="85">
        <f t="shared" si="0"/>
        <v>16</v>
      </c>
      <c r="Q1" s="85">
        <f t="shared" si="0"/>
        <v>17</v>
      </c>
      <c r="R1" s="85">
        <f t="shared" si="0"/>
        <v>18</v>
      </c>
      <c r="S1" s="85">
        <f t="shared" si="0"/>
        <v>19</v>
      </c>
      <c r="T1" s="85">
        <f t="shared" si="0"/>
        <v>20</v>
      </c>
      <c r="U1" s="85">
        <f t="shared" si="0"/>
        <v>21</v>
      </c>
      <c r="V1" s="85">
        <f t="shared" si="0"/>
        <v>22</v>
      </c>
      <c r="W1" s="85">
        <f t="shared" si="0"/>
        <v>23</v>
      </c>
      <c r="X1" s="85">
        <f t="shared" si="0"/>
        <v>24</v>
      </c>
      <c r="Y1" s="85">
        <f t="shared" si="0"/>
        <v>25</v>
      </c>
      <c r="Z1" s="85">
        <f t="shared" si="0"/>
        <v>26</v>
      </c>
      <c r="AA1" s="85">
        <f t="shared" si="0"/>
        <v>27</v>
      </c>
      <c r="AB1" s="85">
        <f t="shared" si="0"/>
        <v>28</v>
      </c>
      <c r="AC1" s="85">
        <f t="shared" si="0"/>
        <v>29</v>
      </c>
      <c r="AD1" s="85">
        <f t="shared" si="0"/>
        <v>30</v>
      </c>
      <c r="AE1" s="85">
        <f t="shared" si="0"/>
        <v>31</v>
      </c>
      <c r="AF1" s="85">
        <f t="shared" si="0"/>
        <v>32</v>
      </c>
      <c r="AG1" s="85">
        <f t="shared" si="0"/>
        <v>33</v>
      </c>
      <c r="AH1" s="85">
        <f t="shared" si="0"/>
        <v>34</v>
      </c>
      <c r="AI1" s="85">
        <f t="shared" si="0"/>
        <v>35</v>
      </c>
      <c r="AJ1" s="85">
        <f t="shared" si="0"/>
        <v>36</v>
      </c>
      <c r="AK1" s="85">
        <f t="shared" si="0"/>
        <v>37</v>
      </c>
      <c r="AL1" s="85">
        <f t="shared" si="0"/>
        <v>38</v>
      </c>
      <c r="AM1" s="85">
        <f t="shared" si="0"/>
        <v>39</v>
      </c>
      <c r="AN1" s="85">
        <f t="shared" si="0"/>
        <v>40</v>
      </c>
      <c r="AO1" s="85">
        <f t="shared" si="0"/>
        <v>41</v>
      </c>
      <c r="AP1" s="85">
        <f t="shared" si="0"/>
        <v>42</v>
      </c>
      <c r="AQ1" s="85">
        <f t="shared" si="0"/>
        <v>43</v>
      </c>
      <c r="AR1" s="85">
        <f t="shared" si="0"/>
        <v>44</v>
      </c>
      <c r="AS1" s="85">
        <f t="shared" si="0"/>
        <v>45</v>
      </c>
      <c r="AT1" s="85">
        <f t="shared" si="0"/>
        <v>46</v>
      </c>
      <c r="AU1" s="85">
        <f t="shared" si="0"/>
        <v>47</v>
      </c>
      <c r="AV1" s="85">
        <f t="shared" si="0"/>
        <v>48</v>
      </c>
      <c r="AW1" s="85">
        <f t="shared" si="0"/>
        <v>49</v>
      </c>
      <c r="AX1" s="85">
        <f t="shared" si="0"/>
        <v>50</v>
      </c>
      <c r="AY1" s="85">
        <f t="shared" si="0"/>
        <v>51</v>
      </c>
      <c r="AZ1" s="85">
        <f t="shared" si="0"/>
        <v>52</v>
      </c>
      <c r="BA1" s="85">
        <f t="shared" si="0"/>
        <v>53</v>
      </c>
      <c r="BB1" s="85">
        <f t="shared" si="0"/>
        <v>54</v>
      </c>
      <c r="BC1" s="85">
        <f t="shared" si="0"/>
        <v>55</v>
      </c>
      <c r="BD1" s="85">
        <f t="shared" si="0"/>
        <v>56</v>
      </c>
      <c r="BE1" s="85">
        <f t="shared" si="0"/>
        <v>57</v>
      </c>
      <c r="BF1" s="85">
        <f t="shared" si="0"/>
        <v>58</v>
      </c>
      <c r="BG1" s="85">
        <f t="shared" si="0"/>
        <v>59</v>
      </c>
      <c r="BH1" s="85">
        <f t="shared" si="0"/>
        <v>60</v>
      </c>
      <c r="BI1" s="85">
        <f t="shared" si="0"/>
        <v>61</v>
      </c>
      <c r="BJ1" s="85">
        <f t="shared" si="0"/>
        <v>62</v>
      </c>
      <c r="BK1" s="85">
        <f t="shared" si="0"/>
        <v>63</v>
      </c>
      <c r="BL1" s="85">
        <f t="shared" si="0"/>
        <v>64</v>
      </c>
      <c r="BM1" s="85">
        <f t="shared" si="0"/>
        <v>65</v>
      </c>
      <c r="BN1" s="85">
        <f t="shared" ref="BN1:DY1" si="1">BM1+1</f>
        <v>66</v>
      </c>
      <c r="BO1" s="85">
        <f t="shared" si="1"/>
        <v>67</v>
      </c>
      <c r="BP1" s="85">
        <f t="shared" si="1"/>
        <v>68</v>
      </c>
      <c r="BQ1" s="85">
        <f t="shared" si="1"/>
        <v>69</v>
      </c>
      <c r="BR1" s="85">
        <f t="shared" si="1"/>
        <v>70</v>
      </c>
      <c r="BS1" s="85">
        <f t="shared" si="1"/>
        <v>71</v>
      </c>
      <c r="BT1" s="85">
        <f t="shared" si="1"/>
        <v>72</v>
      </c>
      <c r="BU1" s="85">
        <f t="shared" si="1"/>
        <v>73</v>
      </c>
      <c r="BV1" s="85">
        <f t="shared" si="1"/>
        <v>74</v>
      </c>
      <c r="BW1" s="85">
        <f t="shared" si="1"/>
        <v>75</v>
      </c>
      <c r="BX1" s="85">
        <f t="shared" si="1"/>
        <v>76</v>
      </c>
      <c r="BY1" s="85">
        <f t="shared" si="1"/>
        <v>77</v>
      </c>
      <c r="BZ1" s="85">
        <f t="shared" si="1"/>
        <v>78</v>
      </c>
      <c r="CA1" s="85">
        <f t="shared" si="1"/>
        <v>79</v>
      </c>
      <c r="CB1" s="85">
        <f t="shared" si="1"/>
        <v>80</v>
      </c>
      <c r="CC1" s="85">
        <f t="shared" si="1"/>
        <v>81</v>
      </c>
      <c r="CD1" s="85">
        <f t="shared" si="1"/>
        <v>82</v>
      </c>
      <c r="CE1" s="85">
        <f t="shared" si="1"/>
        <v>83</v>
      </c>
      <c r="CF1" s="85">
        <f t="shared" si="1"/>
        <v>84</v>
      </c>
      <c r="CG1" s="85">
        <f t="shared" si="1"/>
        <v>85</v>
      </c>
      <c r="CH1" s="85">
        <f t="shared" si="1"/>
        <v>86</v>
      </c>
      <c r="CI1" s="85">
        <f t="shared" si="1"/>
        <v>87</v>
      </c>
      <c r="CJ1" s="85">
        <f t="shared" si="1"/>
        <v>88</v>
      </c>
      <c r="CK1" s="85">
        <f t="shared" si="1"/>
        <v>89</v>
      </c>
      <c r="CL1" s="85">
        <f t="shared" si="1"/>
        <v>90</v>
      </c>
      <c r="CM1" s="85">
        <f t="shared" si="1"/>
        <v>91</v>
      </c>
      <c r="CN1" s="85">
        <f t="shared" si="1"/>
        <v>92</v>
      </c>
      <c r="CO1" s="85">
        <f t="shared" si="1"/>
        <v>93</v>
      </c>
      <c r="CP1" s="85">
        <f t="shared" si="1"/>
        <v>94</v>
      </c>
      <c r="CQ1" s="85">
        <f t="shared" si="1"/>
        <v>95</v>
      </c>
      <c r="CR1" s="85">
        <f t="shared" si="1"/>
        <v>96</v>
      </c>
      <c r="CS1" s="85">
        <f t="shared" si="1"/>
        <v>97</v>
      </c>
      <c r="CT1" s="85">
        <f t="shared" si="1"/>
        <v>98</v>
      </c>
      <c r="CU1" s="85">
        <f t="shared" si="1"/>
        <v>99</v>
      </c>
      <c r="CV1" s="85">
        <f t="shared" si="1"/>
        <v>100</v>
      </c>
      <c r="CW1" s="85">
        <f t="shared" si="1"/>
        <v>101</v>
      </c>
      <c r="CX1" s="85">
        <f t="shared" si="1"/>
        <v>102</v>
      </c>
      <c r="CY1" s="85">
        <f t="shared" si="1"/>
        <v>103</v>
      </c>
      <c r="CZ1" s="85">
        <f t="shared" si="1"/>
        <v>104</v>
      </c>
      <c r="DA1" s="85">
        <f t="shared" si="1"/>
        <v>105</v>
      </c>
      <c r="DB1" s="85">
        <f t="shared" si="1"/>
        <v>106</v>
      </c>
      <c r="DC1" s="85">
        <f t="shared" si="1"/>
        <v>107</v>
      </c>
      <c r="DD1" s="85">
        <f t="shared" si="1"/>
        <v>108</v>
      </c>
      <c r="DE1" s="85">
        <f t="shared" si="1"/>
        <v>109</v>
      </c>
      <c r="DF1" s="85">
        <f t="shared" si="1"/>
        <v>110</v>
      </c>
      <c r="DG1" s="85">
        <f t="shared" si="1"/>
        <v>111</v>
      </c>
      <c r="DH1" s="85">
        <f t="shared" si="1"/>
        <v>112</v>
      </c>
      <c r="DI1" s="85">
        <f t="shared" si="1"/>
        <v>113</v>
      </c>
      <c r="DJ1" s="85">
        <f t="shared" si="1"/>
        <v>114</v>
      </c>
      <c r="DK1" s="85">
        <f t="shared" si="1"/>
        <v>115</v>
      </c>
      <c r="DL1" s="85">
        <f t="shared" si="1"/>
        <v>116</v>
      </c>
      <c r="DM1" s="85">
        <f t="shared" si="1"/>
        <v>117</v>
      </c>
      <c r="DN1" s="85">
        <f t="shared" si="1"/>
        <v>118</v>
      </c>
      <c r="DO1" s="85">
        <f t="shared" si="1"/>
        <v>119</v>
      </c>
      <c r="DP1" s="85">
        <f t="shared" si="1"/>
        <v>120</v>
      </c>
      <c r="DQ1" s="85">
        <f t="shared" si="1"/>
        <v>121</v>
      </c>
      <c r="DR1" s="85">
        <f t="shared" si="1"/>
        <v>122</v>
      </c>
      <c r="DS1" s="85">
        <f t="shared" si="1"/>
        <v>123</v>
      </c>
      <c r="DT1" s="85">
        <f t="shared" si="1"/>
        <v>124</v>
      </c>
      <c r="DU1" s="85">
        <f t="shared" si="1"/>
        <v>125</v>
      </c>
      <c r="DV1" s="85">
        <f t="shared" si="1"/>
        <v>126</v>
      </c>
      <c r="DW1" s="85">
        <f t="shared" si="1"/>
        <v>127</v>
      </c>
      <c r="DX1" s="85">
        <f t="shared" si="1"/>
        <v>128</v>
      </c>
      <c r="DY1" s="85">
        <f t="shared" si="1"/>
        <v>129</v>
      </c>
      <c r="DZ1" s="85">
        <f t="shared" ref="DZ1:GK1" si="2">DY1+1</f>
        <v>130</v>
      </c>
      <c r="EA1" s="85">
        <f t="shared" si="2"/>
        <v>131</v>
      </c>
      <c r="EB1" s="85">
        <f t="shared" si="2"/>
        <v>132</v>
      </c>
      <c r="EC1" s="85">
        <f t="shared" si="2"/>
        <v>133</v>
      </c>
      <c r="ED1" s="85">
        <f t="shared" si="2"/>
        <v>134</v>
      </c>
      <c r="EE1" s="85">
        <f t="shared" si="2"/>
        <v>135</v>
      </c>
      <c r="EF1" s="85">
        <f t="shared" si="2"/>
        <v>136</v>
      </c>
      <c r="EG1" s="85">
        <f t="shared" si="2"/>
        <v>137</v>
      </c>
      <c r="EH1" s="85">
        <f t="shared" si="2"/>
        <v>138</v>
      </c>
      <c r="EI1" s="85">
        <f t="shared" si="2"/>
        <v>139</v>
      </c>
      <c r="EJ1" s="85">
        <f t="shared" si="2"/>
        <v>140</v>
      </c>
      <c r="EK1" s="85">
        <f t="shared" si="2"/>
        <v>141</v>
      </c>
      <c r="EL1" s="85">
        <f t="shared" si="2"/>
        <v>142</v>
      </c>
      <c r="EM1" s="85">
        <f t="shared" si="2"/>
        <v>143</v>
      </c>
      <c r="EN1" s="85">
        <f t="shared" si="2"/>
        <v>144</v>
      </c>
      <c r="EO1" s="85">
        <f t="shared" si="2"/>
        <v>145</v>
      </c>
      <c r="EP1" s="85">
        <f t="shared" si="2"/>
        <v>146</v>
      </c>
      <c r="EQ1" s="85">
        <f t="shared" si="2"/>
        <v>147</v>
      </c>
      <c r="ER1" s="85">
        <f t="shared" si="2"/>
        <v>148</v>
      </c>
      <c r="ES1" s="85">
        <f t="shared" si="2"/>
        <v>149</v>
      </c>
      <c r="ET1" s="85">
        <f t="shared" si="2"/>
        <v>150</v>
      </c>
      <c r="EU1" s="85">
        <f t="shared" si="2"/>
        <v>151</v>
      </c>
      <c r="EV1" s="85">
        <f t="shared" si="2"/>
        <v>152</v>
      </c>
      <c r="EW1" s="85">
        <f t="shared" si="2"/>
        <v>153</v>
      </c>
      <c r="EX1" s="85">
        <f t="shared" si="2"/>
        <v>154</v>
      </c>
      <c r="EY1" s="85">
        <f t="shared" si="2"/>
        <v>155</v>
      </c>
      <c r="EZ1" s="85">
        <f t="shared" si="2"/>
        <v>156</v>
      </c>
      <c r="FA1" s="85">
        <f t="shared" si="2"/>
        <v>157</v>
      </c>
      <c r="FB1" s="85">
        <f t="shared" si="2"/>
        <v>158</v>
      </c>
      <c r="FC1" s="85">
        <f t="shared" si="2"/>
        <v>159</v>
      </c>
      <c r="FD1" s="85">
        <f t="shared" si="2"/>
        <v>160</v>
      </c>
      <c r="FE1" s="85">
        <f t="shared" si="2"/>
        <v>161</v>
      </c>
      <c r="FF1" s="85">
        <f t="shared" si="2"/>
        <v>162</v>
      </c>
      <c r="FG1" s="85">
        <f t="shared" si="2"/>
        <v>163</v>
      </c>
      <c r="FH1" s="85">
        <f t="shared" si="2"/>
        <v>164</v>
      </c>
      <c r="FI1" s="85">
        <f t="shared" si="2"/>
        <v>165</v>
      </c>
      <c r="FJ1" s="85">
        <f t="shared" si="2"/>
        <v>166</v>
      </c>
      <c r="FK1" s="85">
        <f t="shared" si="2"/>
        <v>167</v>
      </c>
      <c r="FL1" s="85">
        <f t="shared" si="2"/>
        <v>168</v>
      </c>
      <c r="FM1" s="85">
        <f t="shared" si="2"/>
        <v>169</v>
      </c>
      <c r="FN1" s="85">
        <f t="shared" si="2"/>
        <v>170</v>
      </c>
      <c r="FO1" s="85">
        <f t="shared" si="2"/>
        <v>171</v>
      </c>
      <c r="FP1" s="85">
        <f t="shared" si="2"/>
        <v>172</v>
      </c>
      <c r="FQ1" s="85">
        <f t="shared" si="2"/>
        <v>173</v>
      </c>
      <c r="FR1" s="85">
        <f t="shared" si="2"/>
        <v>174</v>
      </c>
      <c r="FS1" s="85">
        <f t="shared" si="2"/>
        <v>175</v>
      </c>
      <c r="FT1" s="85">
        <f t="shared" si="2"/>
        <v>176</v>
      </c>
      <c r="FU1" s="85">
        <f t="shared" si="2"/>
        <v>177</v>
      </c>
      <c r="FV1" s="85">
        <f t="shared" si="2"/>
        <v>178</v>
      </c>
      <c r="FW1" s="85">
        <f t="shared" si="2"/>
        <v>179</v>
      </c>
      <c r="FX1" s="85">
        <f t="shared" si="2"/>
        <v>180</v>
      </c>
      <c r="FY1" s="85">
        <f t="shared" si="2"/>
        <v>181</v>
      </c>
      <c r="FZ1" s="85">
        <f t="shared" si="2"/>
        <v>182</v>
      </c>
      <c r="GA1" s="85">
        <f t="shared" si="2"/>
        <v>183</v>
      </c>
      <c r="GB1" s="85">
        <f t="shared" si="2"/>
        <v>184</v>
      </c>
      <c r="GC1" s="85">
        <f t="shared" si="2"/>
        <v>185</v>
      </c>
      <c r="GD1" s="85">
        <f t="shared" si="2"/>
        <v>186</v>
      </c>
      <c r="GE1" s="85">
        <f t="shared" si="2"/>
        <v>187</v>
      </c>
      <c r="GF1" s="85">
        <f t="shared" si="2"/>
        <v>188</v>
      </c>
      <c r="GG1" s="85">
        <f t="shared" si="2"/>
        <v>189</v>
      </c>
      <c r="GH1" s="85">
        <f t="shared" si="2"/>
        <v>190</v>
      </c>
      <c r="GI1" s="85">
        <f t="shared" si="2"/>
        <v>191</v>
      </c>
      <c r="GJ1" s="85">
        <f t="shared" si="2"/>
        <v>192</v>
      </c>
      <c r="GK1" s="85">
        <f t="shared" si="2"/>
        <v>193</v>
      </c>
      <c r="GL1" s="85">
        <f t="shared" ref="GL1:IV1" si="3">GK1+1</f>
        <v>194</v>
      </c>
      <c r="GM1" s="85">
        <f t="shared" si="3"/>
        <v>195</v>
      </c>
      <c r="GN1" s="85">
        <f t="shared" si="3"/>
        <v>196</v>
      </c>
      <c r="GO1" s="85">
        <f t="shared" si="3"/>
        <v>197</v>
      </c>
      <c r="GP1" s="85">
        <f t="shared" si="3"/>
        <v>198</v>
      </c>
      <c r="GQ1" s="85">
        <f t="shared" si="3"/>
        <v>199</v>
      </c>
      <c r="GR1" s="85">
        <f t="shared" si="3"/>
        <v>200</v>
      </c>
      <c r="GS1" s="85">
        <f t="shared" si="3"/>
        <v>201</v>
      </c>
      <c r="GT1" s="85">
        <f t="shared" si="3"/>
        <v>202</v>
      </c>
      <c r="GU1" s="85">
        <f t="shared" si="3"/>
        <v>203</v>
      </c>
      <c r="GV1" s="85">
        <f t="shared" si="3"/>
        <v>204</v>
      </c>
      <c r="GW1" s="85">
        <f t="shared" si="3"/>
        <v>205</v>
      </c>
      <c r="GX1" s="85">
        <f t="shared" si="3"/>
        <v>206</v>
      </c>
      <c r="GY1" s="85">
        <f t="shared" si="3"/>
        <v>207</v>
      </c>
      <c r="GZ1" s="85">
        <f t="shared" si="3"/>
        <v>208</v>
      </c>
      <c r="HA1" s="85">
        <f t="shared" si="3"/>
        <v>209</v>
      </c>
      <c r="HB1" s="85">
        <f t="shared" si="3"/>
        <v>210</v>
      </c>
      <c r="HC1" s="85">
        <f t="shared" si="3"/>
        <v>211</v>
      </c>
      <c r="HD1" s="85">
        <f t="shared" si="3"/>
        <v>212</v>
      </c>
      <c r="HE1" s="85">
        <f t="shared" si="3"/>
        <v>213</v>
      </c>
      <c r="HF1" s="85">
        <f t="shared" si="3"/>
        <v>214</v>
      </c>
      <c r="HG1" s="85">
        <f t="shared" si="3"/>
        <v>215</v>
      </c>
      <c r="HH1" s="85">
        <f t="shared" si="3"/>
        <v>216</v>
      </c>
      <c r="HI1" s="85">
        <f t="shared" si="3"/>
        <v>217</v>
      </c>
      <c r="HJ1" s="85">
        <f t="shared" si="3"/>
        <v>218</v>
      </c>
      <c r="HK1" s="85">
        <f t="shared" si="3"/>
        <v>219</v>
      </c>
      <c r="HL1" s="85">
        <f t="shared" si="3"/>
        <v>220</v>
      </c>
      <c r="HM1" s="85">
        <f t="shared" si="3"/>
        <v>221</v>
      </c>
      <c r="HN1" s="85">
        <f t="shared" si="3"/>
        <v>222</v>
      </c>
      <c r="HO1" s="85">
        <f t="shared" si="3"/>
        <v>223</v>
      </c>
      <c r="HP1" s="85">
        <f t="shared" si="3"/>
        <v>224</v>
      </c>
      <c r="HQ1" s="85">
        <f t="shared" si="3"/>
        <v>225</v>
      </c>
      <c r="HR1" s="85">
        <f t="shared" si="3"/>
        <v>226</v>
      </c>
      <c r="HS1" s="85">
        <f t="shared" si="3"/>
        <v>227</v>
      </c>
      <c r="HT1" s="85">
        <f t="shared" si="3"/>
        <v>228</v>
      </c>
      <c r="HU1" s="85">
        <f t="shared" si="3"/>
        <v>229</v>
      </c>
      <c r="HV1" s="85">
        <f t="shared" si="3"/>
        <v>230</v>
      </c>
      <c r="HW1" s="85">
        <f t="shared" si="3"/>
        <v>231</v>
      </c>
      <c r="HX1" s="85">
        <f t="shared" si="3"/>
        <v>232</v>
      </c>
      <c r="HY1" s="85">
        <f t="shared" si="3"/>
        <v>233</v>
      </c>
      <c r="HZ1" s="85">
        <f t="shared" si="3"/>
        <v>234</v>
      </c>
      <c r="IA1" s="85">
        <f t="shared" si="3"/>
        <v>235</v>
      </c>
      <c r="IB1" s="85">
        <f t="shared" si="3"/>
        <v>236</v>
      </c>
      <c r="IC1" s="85">
        <f t="shared" si="3"/>
        <v>237</v>
      </c>
      <c r="ID1" s="85">
        <f t="shared" si="3"/>
        <v>238</v>
      </c>
      <c r="IE1" s="85">
        <f t="shared" si="3"/>
        <v>239</v>
      </c>
      <c r="IF1" s="85">
        <f t="shared" si="3"/>
        <v>240</v>
      </c>
      <c r="IG1" s="85">
        <f t="shared" si="3"/>
        <v>241</v>
      </c>
      <c r="IH1" s="85">
        <f t="shared" si="3"/>
        <v>242</v>
      </c>
      <c r="II1" s="85">
        <f t="shared" si="3"/>
        <v>243</v>
      </c>
      <c r="IJ1" s="85">
        <f t="shared" si="3"/>
        <v>244</v>
      </c>
      <c r="IK1" s="85">
        <f t="shared" si="3"/>
        <v>245</v>
      </c>
      <c r="IL1" s="85">
        <f t="shared" si="3"/>
        <v>246</v>
      </c>
      <c r="IM1" s="85">
        <f t="shared" si="3"/>
        <v>247</v>
      </c>
      <c r="IN1" s="85">
        <f t="shared" si="3"/>
        <v>248</v>
      </c>
      <c r="IO1" s="85">
        <f t="shared" si="3"/>
        <v>249</v>
      </c>
      <c r="IP1" s="85">
        <f t="shared" si="3"/>
        <v>250</v>
      </c>
      <c r="IQ1" s="85">
        <f t="shared" si="3"/>
        <v>251</v>
      </c>
      <c r="IR1" s="85">
        <f t="shared" si="3"/>
        <v>252</v>
      </c>
      <c r="IS1" s="85">
        <f t="shared" si="3"/>
        <v>253</v>
      </c>
      <c r="IT1" s="85">
        <f t="shared" si="3"/>
        <v>254</v>
      </c>
      <c r="IU1" s="85">
        <f t="shared" si="3"/>
        <v>255</v>
      </c>
      <c r="IV1" s="85">
        <f t="shared" si="3"/>
        <v>256</v>
      </c>
    </row>
    <row r="2" spans="1:256" s="85" customFormat="1" ht="14.25">
      <c r="A2" s="85">
        <f>A1+1</f>
        <v>2</v>
      </c>
      <c r="B2" s="85" t="s">
        <v>103</v>
      </c>
      <c r="C2" s="88"/>
      <c r="D2" s="88"/>
      <c r="E2" s="88"/>
      <c r="F2" s="88"/>
      <c r="G2" s="88"/>
      <c r="H2" s="88"/>
      <c r="I2" s="120" t="s">
        <v>133</v>
      </c>
      <c r="J2" s="120" t="s">
        <v>134</v>
      </c>
      <c r="K2" s="120" t="s">
        <v>135</v>
      </c>
      <c r="L2" s="121" t="s">
        <v>136</v>
      </c>
      <c r="M2" s="121" t="s">
        <v>137</v>
      </c>
      <c r="N2" s="121" t="s">
        <v>138</v>
      </c>
      <c r="O2" s="121" t="s">
        <v>139</v>
      </c>
      <c r="P2" s="120" t="s">
        <v>140</v>
      </c>
      <c r="Q2" s="121" t="s">
        <v>141</v>
      </c>
      <c r="R2" s="120" t="s">
        <v>142</v>
      </c>
      <c r="S2" s="121" t="s">
        <v>143</v>
      </c>
      <c r="T2" s="121" t="s">
        <v>144</v>
      </c>
      <c r="U2" s="120" t="s">
        <v>47</v>
      </c>
      <c r="V2" s="88"/>
      <c r="W2" s="88"/>
      <c r="X2" s="88"/>
      <c r="Y2" s="88"/>
      <c r="Z2" s="88"/>
      <c r="AA2" s="89"/>
      <c r="AB2" s="88"/>
      <c r="AC2" s="88"/>
      <c r="AD2" s="88"/>
      <c r="AE2" s="89"/>
      <c r="AF2" s="88"/>
      <c r="AG2" s="89"/>
      <c r="AH2" s="88"/>
      <c r="AI2" s="88"/>
      <c r="AJ2" s="88"/>
      <c r="AK2" s="88"/>
      <c r="AL2" s="88"/>
      <c r="AM2" s="89"/>
      <c r="AN2" s="89"/>
      <c r="AO2" s="89"/>
      <c r="AP2" s="90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</row>
    <row r="3" spans="1:256" s="16" customFormat="1" ht="14.25">
      <c r="A3" s="85">
        <f>A2+1</f>
        <v>3</v>
      </c>
      <c r="B3" s="86" t="str">
        <f t="shared" ref="B3:B66" si="4">C3&amp;D3&amp;E3&amp;F3&amp;G3&amp;H3</f>
        <v/>
      </c>
      <c r="C3" s="44"/>
      <c r="D3" s="44"/>
      <c r="E3" s="44"/>
      <c r="F3" s="44"/>
      <c r="G3" s="44"/>
      <c r="H3" s="64"/>
      <c r="I3" s="204" t="s">
        <v>266</v>
      </c>
      <c r="J3" s="204" t="s">
        <v>267</v>
      </c>
      <c r="K3" s="204" t="s">
        <v>268</v>
      </c>
      <c r="L3" s="204" t="s">
        <v>269</v>
      </c>
      <c r="M3" s="204" t="s">
        <v>270</v>
      </c>
      <c r="N3" s="204" t="s">
        <v>271</v>
      </c>
      <c r="O3" s="204" t="s">
        <v>272</v>
      </c>
      <c r="P3" s="204" t="s">
        <v>273</v>
      </c>
      <c r="Q3" s="204" t="s">
        <v>274</v>
      </c>
      <c r="R3" s="204" t="s">
        <v>275</v>
      </c>
      <c r="S3" s="204" t="s">
        <v>276</v>
      </c>
      <c r="T3" s="204" t="s">
        <v>277</v>
      </c>
      <c r="U3" s="204" t="s">
        <v>44</v>
      </c>
      <c r="V3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5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</row>
    <row r="4" spans="1:256" ht="14.25">
      <c r="A4" s="85">
        <f t="shared" ref="A4:A67" si="5">A3+1</f>
        <v>4</v>
      </c>
      <c r="B4" s="86" t="str">
        <f t="shared" si="4"/>
        <v>Revenue</v>
      </c>
      <c r="C4" s="46"/>
      <c r="D4" s="46"/>
      <c r="E4" s="46"/>
      <c r="F4" s="46"/>
      <c r="G4" s="46"/>
      <c r="H4" s="205" t="s">
        <v>120</v>
      </c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8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256" ht="14.25">
      <c r="A5" s="85">
        <f t="shared" si="5"/>
        <v>5</v>
      </c>
      <c r="B5" s="86" t="str">
        <f t="shared" si="4"/>
        <v xml:space="preserve">   4000 Individual Contributions</v>
      </c>
      <c r="C5" s="46"/>
      <c r="D5" s="46"/>
      <c r="E5" s="46"/>
      <c r="F5" s="46"/>
      <c r="G5" s="46"/>
      <c r="H5" s="205" t="s">
        <v>46</v>
      </c>
      <c r="I5" s="207">
        <f>4741</f>
        <v>4741</v>
      </c>
      <c r="J5" s="207">
        <f>330</f>
        <v>330</v>
      </c>
      <c r="K5" s="207">
        <f>1215</f>
        <v>1215</v>
      </c>
      <c r="L5" s="207">
        <f>120</f>
        <v>120</v>
      </c>
      <c r="M5" s="207">
        <f>1330</f>
        <v>1330</v>
      </c>
      <c r="N5" s="207">
        <f>1195</f>
        <v>1195</v>
      </c>
      <c r="O5" s="207">
        <f>230</f>
        <v>230</v>
      </c>
      <c r="P5" s="207">
        <f>625</f>
        <v>625</v>
      </c>
      <c r="Q5" s="207">
        <f>420</f>
        <v>420</v>
      </c>
      <c r="R5" s="207">
        <f>760</f>
        <v>760</v>
      </c>
      <c r="S5" s="207">
        <f>330</f>
        <v>330</v>
      </c>
      <c r="T5" s="207">
        <f>42319.63</f>
        <v>42319.63</v>
      </c>
      <c r="U5" s="207">
        <f t="shared" ref="U5:U10" si="6">(((((((((((I5)+(J5))+(K5))+(L5))+(M5))+(N5))+(O5))+(P5))+(Q5))+(R5))+(S5))+(T5)</f>
        <v>53615.63</v>
      </c>
      <c r="V5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8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256" ht="14.25">
      <c r="A6" s="85">
        <f t="shared" si="5"/>
        <v>6</v>
      </c>
      <c r="B6" s="86" t="str">
        <f t="shared" si="4"/>
        <v xml:space="preserve">   4100 Corporate Contributions</v>
      </c>
      <c r="C6" s="46"/>
      <c r="D6" s="46"/>
      <c r="E6" s="46"/>
      <c r="F6" s="46"/>
      <c r="G6" s="46"/>
      <c r="H6" s="205" t="s">
        <v>48</v>
      </c>
      <c r="I6" s="207">
        <f>345.53</f>
        <v>345.53</v>
      </c>
      <c r="J6" s="207">
        <f>2200</f>
        <v>2200</v>
      </c>
      <c r="K6" s="206"/>
      <c r="L6" s="207">
        <f>1400</f>
        <v>1400</v>
      </c>
      <c r="M6" s="207">
        <f>400</f>
        <v>400</v>
      </c>
      <c r="N6" s="207">
        <f>60000</f>
        <v>60000</v>
      </c>
      <c r="O6" s="206"/>
      <c r="P6" s="207">
        <f>5000</f>
        <v>5000</v>
      </c>
      <c r="Q6" s="207">
        <f>2500</f>
        <v>2500</v>
      </c>
      <c r="R6" s="207">
        <f>46000</f>
        <v>46000</v>
      </c>
      <c r="S6" s="207">
        <f>5000</f>
        <v>5000</v>
      </c>
      <c r="T6" s="207">
        <f>10000</f>
        <v>10000</v>
      </c>
      <c r="U6" s="207">
        <f t="shared" si="6"/>
        <v>132845.53</v>
      </c>
      <c r="V6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8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256" ht="14.25">
      <c r="A7" s="85">
        <f t="shared" si="5"/>
        <v>7</v>
      </c>
      <c r="B7" s="86" t="str">
        <f t="shared" si="4"/>
        <v xml:space="preserve">   4200 Foundation Contributions</v>
      </c>
      <c r="C7" s="46"/>
      <c r="D7" s="46"/>
      <c r="E7" s="46"/>
      <c r="F7" s="46"/>
      <c r="G7" s="46"/>
      <c r="H7" s="205" t="s">
        <v>49</v>
      </c>
      <c r="I7" s="207">
        <f>650</f>
        <v>650</v>
      </c>
      <c r="J7" s="206"/>
      <c r="K7" s="206"/>
      <c r="L7" s="206"/>
      <c r="M7" s="206"/>
      <c r="N7" s="207">
        <f>600</f>
        <v>600</v>
      </c>
      <c r="O7" s="206"/>
      <c r="P7" s="207">
        <f>1800</f>
        <v>1800</v>
      </c>
      <c r="Q7" s="206"/>
      <c r="R7" s="206"/>
      <c r="S7" s="206"/>
      <c r="T7" s="207">
        <f>1200</f>
        <v>1200</v>
      </c>
      <c r="U7" s="207">
        <f t="shared" si="6"/>
        <v>4250</v>
      </c>
      <c r="V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8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256" ht="14.25">
      <c r="A8" s="85">
        <f t="shared" si="5"/>
        <v>8</v>
      </c>
      <c r="B8" s="86" t="str">
        <f t="shared" si="4"/>
        <v xml:space="preserve">   4400 Earned Income</v>
      </c>
      <c r="C8" s="46"/>
      <c r="D8" s="46"/>
      <c r="E8" s="46"/>
      <c r="F8" s="46"/>
      <c r="G8" s="46"/>
      <c r="H8" s="205" t="s">
        <v>52</v>
      </c>
      <c r="I8" s="206"/>
      <c r="J8" s="206"/>
      <c r="K8" s="206"/>
      <c r="L8" s="206"/>
      <c r="M8" s="206"/>
      <c r="N8" s="206"/>
      <c r="O8" s="207">
        <f>13488</f>
        <v>13488</v>
      </c>
      <c r="P8" s="206"/>
      <c r="Q8" s="206"/>
      <c r="R8" s="206"/>
      <c r="S8" s="206"/>
      <c r="T8" s="207">
        <f>4565</f>
        <v>4565</v>
      </c>
      <c r="U8" s="207">
        <f t="shared" si="6"/>
        <v>18053</v>
      </c>
      <c r="V8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256" ht="14.25">
      <c r="A9" s="85">
        <f t="shared" si="5"/>
        <v>9</v>
      </c>
      <c r="B9" s="86" t="str">
        <f t="shared" si="4"/>
        <v>Total Revenue</v>
      </c>
      <c r="C9" s="46"/>
      <c r="D9" s="46"/>
      <c r="E9" s="46"/>
      <c r="F9" s="46"/>
      <c r="G9" s="46"/>
      <c r="H9" s="205" t="s">
        <v>55</v>
      </c>
      <c r="I9" s="208">
        <f t="shared" ref="I9:T9" si="7">(((I5)+(I6))+(I7))+(I8)</f>
        <v>5736.53</v>
      </c>
      <c r="J9" s="208">
        <f t="shared" si="7"/>
        <v>2530</v>
      </c>
      <c r="K9" s="208">
        <f t="shared" si="7"/>
        <v>1215</v>
      </c>
      <c r="L9" s="208">
        <f t="shared" si="7"/>
        <v>1520</v>
      </c>
      <c r="M9" s="208">
        <f t="shared" si="7"/>
        <v>1730</v>
      </c>
      <c r="N9" s="208">
        <f t="shared" si="7"/>
        <v>61795</v>
      </c>
      <c r="O9" s="208">
        <f t="shared" si="7"/>
        <v>13718</v>
      </c>
      <c r="P9" s="208">
        <f t="shared" si="7"/>
        <v>7425</v>
      </c>
      <c r="Q9" s="208">
        <f t="shared" si="7"/>
        <v>2920</v>
      </c>
      <c r="R9" s="208">
        <f t="shared" si="7"/>
        <v>46760</v>
      </c>
      <c r="S9" s="208">
        <f t="shared" si="7"/>
        <v>5330</v>
      </c>
      <c r="T9" s="208">
        <f t="shared" si="7"/>
        <v>58084.63</v>
      </c>
      <c r="U9" s="208">
        <f t="shared" si="6"/>
        <v>208764.16</v>
      </c>
      <c r="V9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8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256" ht="14.25">
      <c r="A10" s="85">
        <f t="shared" si="5"/>
        <v>10</v>
      </c>
      <c r="B10" s="86" t="str">
        <f t="shared" si="4"/>
        <v>Gross Profit</v>
      </c>
      <c r="C10" s="46"/>
      <c r="D10" s="46"/>
      <c r="E10" s="46"/>
      <c r="F10" s="46"/>
      <c r="G10" s="46"/>
      <c r="H10" s="205" t="s">
        <v>214</v>
      </c>
      <c r="I10" s="208">
        <f t="shared" ref="I10:T10" si="8">(I9)-(0)</f>
        <v>5736.53</v>
      </c>
      <c r="J10" s="208">
        <f t="shared" si="8"/>
        <v>2530</v>
      </c>
      <c r="K10" s="208">
        <f t="shared" si="8"/>
        <v>1215</v>
      </c>
      <c r="L10" s="208">
        <f t="shared" si="8"/>
        <v>1520</v>
      </c>
      <c r="M10" s="208">
        <f t="shared" si="8"/>
        <v>1730</v>
      </c>
      <c r="N10" s="208">
        <f t="shared" si="8"/>
        <v>61795</v>
      </c>
      <c r="O10" s="208">
        <f t="shared" si="8"/>
        <v>13718</v>
      </c>
      <c r="P10" s="208">
        <f t="shared" si="8"/>
        <v>7425</v>
      </c>
      <c r="Q10" s="208">
        <f t="shared" si="8"/>
        <v>2920</v>
      </c>
      <c r="R10" s="208">
        <f t="shared" si="8"/>
        <v>46760</v>
      </c>
      <c r="S10" s="208">
        <f t="shared" si="8"/>
        <v>5330</v>
      </c>
      <c r="T10" s="208">
        <f t="shared" si="8"/>
        <v>58084.63</v>
      </c>
      <c r="U10" s="208">
        <f t="shared" si="6"/>
        <v>208764.16</v>
      </c>
      <c r="V10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256" ht="14.25">
      <c r="A11" s="85">
        <f t="shared" si="5"/>
        <v>11</v>
      </c>
      <c r="B11" s="86" t="str">
        <f t="shared" si="4"/>
        <v>Expenditures</v>
      </c>
      <c r="C11" s="46"/>
      <c r="D11" s="46"/>
      <c r="E11" s="46"/>
      <c r="F11" s="46"/>
      <c r="G11" s="46"/>
      <c r="H11" s="205" t="s">
        <v>121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256" ht="14.25">
      <c r="A12" s="85">
        <f t="shared" si="5"/>
        <v>12</v>
      </c>
      <c r="B12" s="86" t="str">
        <f t="shared" si="4"/>
        <v xml:space="preserve">   5000 Payroll Expenses</v>
      </c>
      <c r="C12" s="46"/>
      <c r="D12" s="46"/>
      <c r="E12" s="46"/>
      <c r="F12" s="46"/>
      <c r="G12" s="46"/>
      <c r="H12" s="205" t="s">
        <v>193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7">
        <f t="shared" ref="U12:U47" si="9">(((((((((((I12)+(J12))+(K12))+(L12))+(M12))+(N12))+(O12))+(P12))+(Q12))+(R12))+(S12))+(T12)</f>
        <v>0</v>
      </c>
      <c r="V12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256" ht="14.25">
      <c r="A13" s="85">
        <f t="shared" si="5"/>
        <v>13</v>
      </c>
      <c r="B13" s="86" t="str">
        <f t="shared" si="4"/>
        <v xml:space="preserve">      5010 Salary &amp; Wages</v>
      </c>
      <c r="C13" s="46"/>
      <c r="D13" s="46"/>
      <c r="E13" s="46"/>
      <c r="F13" s="46"/>
      <c r="G13" s="46"/>
      <c r="H13" s="205" t="s">
        <v>215</v>
      </c>
      <c r="I13" s="207">
        <f t="shared" ref="I13:S13" si="10">11118.42</f>
        <v>11118.42</v>
      </c>
      <c r="J13" s="207">
        <f t="shared" si="10"/>
        <v>11118.42</v>
      </c>
      <c r="K13" s="207">
        <f t="shared" si="10"/>
        <v>11118.42</v>
      </c>
      <c r="L13" s="207">
        <f t="shared" si="10"/>
        <v>11118.42</v>
      </c>
      <c r="M13" s="207">
        <f t="shared" si="10"/>
        <v>11118.42</v>
      </c>
      <c r="N13" s="207">
        <f t="shared" si="10"/>
        <v>11118.42</v>
      </c>
      <c r="O13" s="207">
        <f t="shared" si="10"/>
        <v>11118.42</v>
      </c>
      <c r="P13" s="207">
        <f t="shared" si="10"/>
        <v>11118.42</v>
      </c>
      <c r="Q13" s="207">
        <f t="shared" si="10"/>
        <v>11118.42</v>
      </c>
      <c r="R13" s="207">
        <f t="shared" si="10"/>
        <v>11118.42</v>
      </c>
      <c r="S13" s="207">
        <f t="shared" si="10"/>
        <v>11118.42</v>
      </c>
      <c r="T13" s="207">
        <f>-62302.62</f>
        <v>-62302.62</v>
      </c>
      <c r="U13" s="207">
        <f t="shared" si="9"/>
        <v>59999.999999999993</v>
      </c>
      <c r="V13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256" ht="14.25">
      <c r="A14" s="85">
        <f t="shared" si="5"/>
        <v>14</v>
      </c>
      <c r="B14" s="86" t="str">
        <f t="shared" si="4"/>
        <v xml:space="preserve">      5100 Payroll Taxes</v>
      </c>
      <c r="C14" s="46"/>
      <c r="D14" s="46"/>
      <c r="E14" s="46"/>
      <c r="F14" s="46"/>
      <c r="G14" s="46"/>
      <c r="H14" s="205" t="s">
        <v>216</v>
      </c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7">
        <f t="shared" si="9"/>
        <v>0</v>
      </c>
      <c r="V14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8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256" ht="14.25">
      <c r="A15" s="85">
        <f t="shared" si="5"/>
        <v>15</v>
      </c>
      <c r="B15" s="86" t="str">
        <f t="shared" si="4"/>
        <v xml:space="preserve">         5110 FICA</v>
      </c>
      <c r="C15" s="46"/>
      <c r="D15" s="46"/>
      <c r="E15" s="46"/>
      <c r="F15" s="46"/>
      <c r="G15" s="46"/>
      <c r="H15" s="205" t="s">
        <v>217</v>
      </c>
      <c r="I15" s="207">
        <f t="shared" ref="I15:S15" si="11">850.56</f>
        <v>850.56</v>
      </c>
      <c r="J15" s="207">
        <f t="shared" si="11"/>
        <v>850.56</v>
      </c>
      <c r="K15" s="207">
        <f t="shared" si="11"/>
        <v>850.56</v>
      </c>
      <c r="L15" s="207">
        <f t="shared" si="11"/>
        <v>850.56</v>
      </c>
      <c r="M15" s="207">
        <f t="shared" si="11"/>
        <v>850.56</v>
      </c>
      <c r="N15" s="207">
        <f t="shared" si="11"/>
        <v>850.56</v>
      </c>
      <c r="O15" s="207">
        <f t="shared" si="11"/>
        <v>850.56</v>
      </c>
      <c r="P15" s="207">
        <f t="shared" si="11"/>
        <v>850.56</v>
      </c>
      <c r="Q15" s="207">
        <f t="shared" si="11"/>
        <v>850.56</v>
      </c>
      <c r="R15" s="207">
        <f t="shared" si="11"/>
        <v>850.56</v>
      </c>
      <c r="S15" s="207">
        <f t="shared" si="11"/>
        <v>850.56</v>
      </c>
      <c r="T15" s="207">
        <f>-4644.06</f>
        <v>-4644.0600000000004</v>
      </c>
      <c r="U15" s="207">
        <f t="shared" si="9"/>
        <v>4712.0999999999958</v>
      </c>
      <c r="V15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256" ht="14.25">
      <c r="A16" s="85">
        <f t="shared" si="5"/>
        <v>16</v>
      </c>
      <c r="B16" s="86" t="str">
        <f t="shared" si="4"/>
        <v xml:space="preserve">         5130 Disability</v>
      </c>
      <c r="C16" s="46"/>
      <c r="D16" s="46"/>
      <c r="E16" s="46"/>
      <c r="F16" s="46"/>
      <c r="G16" s="46"/>
      <c r="H16" s="205" t="s">
        <v>310</v>
      </c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7">
        <f>-78.2</f>
        <v>-78.2</v>
      </c>
      <c r="U16" s="207">
        <f t="shared" si="9"/>
        <v>-78.2</v>
      </c>
      <c r="V16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8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ht="14.25">
      <c r="A17" s="85">
        <f t="shared" si="5"/>
        <v>17</v>
      </c>
      <c r="B17" s="86" t="str">
        <f t="shared" si="4"/>
        <v xml:space="preserve">      Total 5100 Payroll Taxes</v>
      </c>
      <c r="C17" s="46"/>
      <c r="D17" s="46"/>
      <c r="E17" s="46"/>
      <c r="F17" s="46"/>
      <c r="G17" s="46"/>
      <c r="H17" s="205" t="s">
        <v>218</v>
      </c>
      <c r="I17" s="208">
        <f t="shared" ref="I17:T17" si="12">((I14)+(I15))+(I16)</f>
        <v>850.56</v>
      </c>
      <c r="J17" s="208">
        <f t="shared" si="12"/>
        <v>850.56</v>
      </c>
      <c r="K17" s="208">
        <f t="shared" si="12"/>
        <v>850.56</v>
      </c>
      <c r="L17" s="208">
        <f t="shared" si="12"/>
        <v>850.56</v>
      </c>
      <c r="M17" s="208">
        <f t="shared" si="12"/>
        <v>850.56</v>
      </c>
      <c r="N17" s="208">
        <f t="shared" si="12"/>
        <v>850.56</v>
      </c>
      <c r="O17" s="208">
        <f t="shared" si="12"/>
        <v>850.56</v>
      </c>
      <c r="P17" s="208">
        <f t="shared" si="12"/>
        <v>850.56</v>
      </c>
      <c r="Q17" s="208">
        <f t="shared" si="12"/>
        <v>850.56</v>
      </c>
      <c r="R17" s="208">
        <f t="shared" si="12"/>
        <v>850.56</v>
      </c>
      <c r="S17" s="208">
        <f t="shared" si="12"/>
        <v>850.56</v>
      </c>
      <c r="T17" s="208">
        <f t="shared" si="12"/>
        <v>-4722.26</v>
      </c>
      <c r="U17" s="208">
        <f t="shared" si="9"/>
        <v>4633.899999999996</v>
      </c>
      <c r="V1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8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ht="14.25">
      <c r="A18" s="85">
        <f t="shared" si="5"/>
        <v>18</v>
      </c>
      <c r="B18" s="86" t="str">
        <f t="shared" si="4"/>
        <v xml:space="preserve">      5200 Employee Benefits</v>
      </c>
      <c r="C18" s="46"/>
      <c r="D18" s="46"/>
      <c r="E18" s="46"/>
      <c r="F18" s="46"/>
      <c r="G18" s="46"/>
      <c r="H18" s="205" t="s">
        <v>228</v>
      </c>
      <c r="I18" s="207">
        <f t="shared" ref="I18:Q18" si="13">2115.72</f>
        <v>2115.7199999999998</v>
      </c>
      <c r="J18" s="207">
        <f t="shared" si="13"/>
        <v>2115.7199999999998</v>
      </c>
      <c r="K18" s="207">
        <f t="shared" si="13"/>
        <v>2115.7199999999998</v>
      </c>
      <c r="L18" s="207">
        <f t="shared" si="13"/>
        <v>2115.7199999999998</v>
      </c>
      <c r="M18" s="207">
        <f t="shared" si="13"/>
        <v>2115.7199999999998</v>
      </c>
      <c r="N18" s="207">
        <f t="shared" si="13"/>
        <v>2115.7199999999998</v>
      </c>
      <c r="O18" s="207">
        <f t="shared" si="13"/>
        <v>2115.7199999999998</v>
      </c>
      <c r="P18" s="207">
        <f t="shared" si="13"/>
        <v>2115.7199999999998</v>
      </c>
      <c r="Q18" s="207">
        <f t="shared" si="13"/>
        <v>2115.7199999999998</v>
      </c>
      <c r="R18" s="207">
        <f>958.52</f>
        <v>958.52</v>
      </c>
      <c r="S18" s="206"/>
      <c r="T18" s="207">
        <f>0</f>
        <v>0</v>
      </c>
      <c r="U18" s="207">
        <f t="shared" si="9"/>
        <v>20000</v>
      </c>
      <c r="V18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ht="14.25">
      <c r="A19" s="85">
        <f t="shared" si="5"/>
        <v>19</v>
      </c>
      <c r="B19" s="86" t="str">
        <f t="shared" si="4"/>
        <v xml:space="preserve">   Total 5000 Payroll Expenses</v>
      </c>
      <c r="C19" s="46"/>
      <c r="D19" s="46"/>
      <c r="E19" s="46"/>
      <c r="F19" s="46"/>
      <c r="G19" s="46"/>
      <c r="H19" s="205" t="s">
        <v>194</v>
      </c>
      <c r="I19" s="208">
        <f t="shared" ref="I19:T19" si="14">(((I12)+(I13))+(I17))+(I18)</f>
        <v>14084.699999999999</v>
      </c>
      <c r="J19" s="208">
        <f t="shared" si="14"/>
        <v>14084.699999999999</v>
      </c>
      <c r="K19" s="208">
        <f t="shared" si="14"/>
        <v>14084.699999999999</v>
      </c>
      <c r="L19" s="208">
        <f t="shared" si="14"/>
        <v>14084.699999999999</v>
      </c>
      <c r="M19" s="208">
        <f t="shared" si="14"/>
        <v>14084.699999999999</v>
      </c>
      <c r="N19" s="208">
        <f t="shared" si="14"/>
        <v>14084.699999999999</v>
      </c>
      <c r="O19" s="208">
        <f t="shared" si="14"/>
        <v>14084.699999999999</v>
      </c>
      <c r="P19" s="208">
        <f t="shared" si="14"/>
        <v>14084.699999999999</v>
      </c>
      <c r="Q19" s="208">
        <f t="shared" si="14"/>
        <v>14084.699999999999</v>
      </c>
      <c r="R19" s="208">
        <f t="shared" si="14"/>
        <v>12927.5</v>
      </c>
      <c r="S19" s="208">
        <f t="shared" si="14"/>
        <v>11968.98</v>
      </c>
      <c r="T19" s="208">
        <f t="shared" si="14"/>
        <v>-67024.88</v>
      </c>
      <c r="U19" s="208">
        <f t="shared" si="9"/>
        <v>84633.9</v>
      </c>
      <c r="V19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ht="14.25">
      <c r="A20" s="85">
        <f t="shared" si="5"/>
        <v>20</v>
      </c>
      <c r="B20" s="86" t="str">
        <f t="shared" si="4"/>
        <v xml:space="preserve">   6100 Occupancy</v>
      </c>
      <c r="C20" s="46"/>
      <c r="D20" s="46"/>
      <c r="E20" s="46"/>
      <c r="F20" s="46"/>
      <c r="G20" s="46"/>
      <c r="H20" s="205" t="s">
        <v>122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7">
        <f t="shared" si="9"/>
        <v>0</v>
      </c>
      <c r="V20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8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ht="14.25">
      <c r="A21" s="85">
        <f t="shared" si="5"/>
        <v>21</v>
      </c>
      <c r="B21" s="86" t="str">
        <f t="shared" si="4"/>
        <v xml:space="preserve">      6110 Rent</v>
      </c>
      <c r="C21" s="46"/>
      <c r="D21" s="46"/>
      <c r="E21" s="46"/>
      <c r="F21" s="46"/>
      <c r="G21" s="46"/>
      <c r="H21" s="205" t="s">
        <v>123</v>
      </c>
      <c r="I21" s="207">
        <f>1200</f>
        <v>1200</v>
      </c>
      <c r="J21" s="207">
        <f>1200</f>
        <v>1200</v>
      </c>
      <c r="K21" s="207">
        <f>1200</f>
        <v>1200</v>
      </c>
      <c r="L21" s="207">
        <f>1200</f>
        <v>1200</v>
      </c>
      <c r="M21" s="207">
        <f>1200</f>
        <v>1200</v>
      </c>
      <c r="N21" s="207">
        <f>1350</f>
        <v>1350</v>
      </c>
      <c r="O21" s="207">
        <f>1350</f>
        <v>1350</v>
      </c>
      <c r="P21" s="207">
        <f>1350</f>
        <v>1350</v>
      </c>
      <c r="Q21" s="207">
        <f>1350</f>
        <v>1350</v>
      </c>
      <c r="R21" s="207">
        <f>1350</f>
        <v>1350</v>
      </c>
      <c r="S21" s="207">
        <f>1350</f>
        <v>1350</v>
      </c>
      <c r="T21" s="207">
        <f>1350</f>
        <v>1350</v>
      </c>
      <c r="U21" s="207">
        <f t="shared" si="9"/>
        <v>15450</v>
      </c>
      <c r="V21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8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ht="14.25">
      <c r="A22" s="85">
        <f t="shared" si="5"/>
        <v>22</v>
      </c>
      <c r="B22" s="86" t="str">
        <f t="shared" si="4"/>
        <v xml:space="preserve">      6130 Telephone, Telecommunications</v>
      </c>
      <c r="C22" s="46"/>
      <c r="D22" s="46"/>
      <c r="E22" s="46"/>
      <c r="F22" s="46"/>
      <c r="G22" s="46"/>
      <c r="H22" s="205" t="s">
        <v>124</v>
      </c>
      <c r="I22" s="207">
        <f>70.02</f>
        <v>70.02</v>
      </c>
      <c r="J22" s="207">
        <f>100.52</f>
        <v>100.52</v>
      </c>
      <c r="K22" s="207">
        <f>70.02</f>
        <v>70.02</v>
      </c>
      <c r="L22" s="207">
        <f>70.62</f>
        <v>70.62</v>
      </c>
      <c r="M22" s="207">
        <f>119.55</f>
        <v>119.55</v>
      </c>
      <c r="N22" s="207">
        <f>70.55</f>
        <v>70.55</v>
      </c>
      <c r="O22" s="207">
        <f>72.53</f>
        <v>72.53</v>
      </c>
      <c r="P22" s="207">
        <f>66.79</f>
        <v>66.790000000000006</v>
      </c>
      <c r="Q22" s="207">
        <f>66.79</f>
        <v>66.790000000000006</v>
      </c>
      <c r="R22" s="207">
        <f>66.79</f>
        <v>66.790000000000006</v>
      </c>
      <c r="S22" s="207">
        <f>66.9</f>
        <v>66.900000000000006</v>
      </c>
      <c r="T22" s="207">
        <f>66.9</f>
        <v>66.900000000000006</v>
      </c>
      <c r="U22" s="207">
        <f t="shared" si="9"/>
        <v>907.9799999999999</v>
      </c>
      <c r="V22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8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ht="14.25">
      <c r="A23" s="85">
        <f t="shared" si="5"/>
        <v>23</v>
      </c>
      <c r="B23" s="86" t="str">
        <f t="shared" si="4"/>
        <v xml:space="preserve">   Total 6100 Occupancy</v>
      </c>
      <c r="C23" s="46"/>
      <c r="D23" s="46"/>
      <c r="E23" s="46"/>
      <c r="F23" s="46"/>
      <c r="G23" s="46"/>
      <c r="H23" s="205" t="s">
        <v>89</v>
      </c>
      <c r="I23" s="208">
        <f t="shared" ref="I23:T23" si="15">((I20)+(I21))+(I22)</f>
        <v>1270.02</v>
      </c>
      <c r="J23" s="208">
        <f t="shared" si="15"/>
        <v>1300.52</v>
      </c>
      <c r="K23" s="208">
        <f t="shared" si="15"/>
        <v>1270.02</v>
      </c>
      <c r="L23" s="208">
        <f t="shared" si="15"/>
        <v>1270.6199999999999</v>
      </c>
      <c r="M23" s="208">
        <f t="shared" si="15"/>
        <v>1319.55</v>
      </c>
      <c r="N23" s="208">
        <f t="shared" si="15"/>
        <v>1420.55</v>
      </c>
      <c r="O23" s="208">
        <f t="shared" si="15"/>
        <v>1422.53</v>
      </c>
      <c r="P23" s="208">
        <f t="shared" si="15"/>
        <v>1416.79</v>
      </c>
      <c r="Q23" s="208">
        <f t="shared" si="15"/>
        <v>1416.79</v>
      </c>
      <c r="R23" s="208">
        <f t="shared" si="15"/>
        <v>1416.79</v>
      </c>
      <c r="S23" s="208">
        <f t="shared" si="15"/>
        <v>1416.9</v>
      </c>
      <c r="T23" s="208">
        <f t="shared" si="15"/>
        <v>1416.9</v>
      </c>
      <c r="U23" s="208">
        <f t="shared" si="9"/>
        <v>16357.980000000003</v>
      </c>
      <c r="V23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8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ht="14.25">
      <c r="A24" s="85">
        <f t="shared" si="5"/>
        <v>24</v>
      </c>
      <c r="B24" s="86" t="str">
        <f t="shared" si="4"/>
        <v xml:space="preserve">   6200 Business Insurance</v>
      </c>
      <c r="C24" s="46"/>
      <c r="D24" s="46"/>
      <c r="E24" s="46"/>
      <c r="F24" s="46"/>
      <c r="G24" s="46"/>
      <c r="H24" s="205" t="s">
        <v>125</v>
      </c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7">
        <f t="shared" si="9"/>
        <v>0</v>
      </c>
      <c r="V24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ht="14.25">
      <c r="A25" s="85">
        <f t="shared" si="5"/>
        <v>25</v>
      </c>
      <c r="B25" s="86" t="str">
        <f t="shared" si="4"/>
        <v xml:space="preserve">      6220 D&amp;O</v>
      </c>
      <c r="C25" s="46"/>
      <c r="D25" s="46"/>
      <c r="E25" s="46"/>
      <c r="F25" s="46"/>
      <c r="G25" s="46"/>
      <c r="H25" s="205" t="s">
        <v>126</v>
      </c>
      <c r="I25" s="206"/>
      <c r="J25" s="206"/>
      <c r="K25" s="207">
        <f>219.5</f>
        <v>219.5</v>
      </c>
      <c r="L25" s="206"/>
      <c r="M25" s="206"/>
      <c r="N25" s="207">
        <f>219.5</f>
        <v>219.5</v>
      </c>
      <c r="O25" s="206"/>
      <c r="P25" s="206"/>
      <c r="Q25" s="207">
        <f>219.5</f>
        <v>219.5</v>
      </c>
      <c r="R25" s="206"/>
      <c r="S25" s="206"/>
      <c r="T25" s="207">
        <f>219.5</f>
        <v>219.5</v>
      </c>
      <c r="U25" s="207">
        <f t="shared" si="9"/>
        <v>878</v>
      </c>
      <c r="V25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8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ht="14.25">
      <c r="A26" s="85">
        <f t="shared" si="5"/>
        <v>26</v>
      </c>
      <c r="B26" s="86" t="str">
        <f t="shared" si="4"/>
        <v xml:space="preserve">   Total 6200 Business Insurance</v>
      </c>
      <c r="C26" s="46"/>
      <c r="D26" s="46"/>
      <c r="E26" s="46"/>
      <c r="F26" s="46"/>
      <c r="G26" s="46"/>
      <c r="H26" s="205" t="s">
        <v>91</v>
      </c>
      <c r="I26" s="208">
        <f t="shared" ref="I26:T26" si="16">(I24)+(I25)</f>
        <v>0</v>
      </c>
      <c r="J26" s="208">
        <f t="shared" si="16"/>
        <v>0</v>
      </c>
      <c r="K26" s="208">
        <f t="shared" si="16"/>
        <v>219.5</v>
      </c>
      <c r="L26" s="208">
        <f t="shared" si="16"/>
        <v>0</v>
      </c>
      <c r="M26" s="208">
        <f t="shared" si="16"/>
        <v>0</v>
      </c>
      <c r="N26" s="208">
        <f t="shared" si="16"/>
        <v>219.5</v>
      </c>
      <c r="O26" s="208">
        <f t="shared" si="16"/>
        <v>0</v>
      </c>
      <c r="P26" s="208">
        <f t="shared" si="16"/>
        <v>0</v>
      </c>
      <c r="Q26" s="208">
        <f t="shared" si="16"/>
        <v>219.5</v>
      </c>
      <c r="R26" s="208">
        <f t="shared" si="16"/>
        <v>0</v>
      </c>
      <c r="S26" s="208">
        <f t="shared" si="16"/>
        <v>0</v>
      </c>
      <c r="T26" s="208">
        <f t="shared" si="16"/>
        <v>219.5</v>
      </c>
      <c r="U26" s="208">
        <f t="shared" si="9"/>
        <v>878</v>
      </c>
      <c r="V26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ht="14.25">
      <c r="A27" s="85">
        <f t="shared" si="5"/>
        <v>27</v>
      </c>
      <c r="B27" s="86" t="str">
        <f t="shared" si="4"/>
        <v xml:space="preserve">   6300 Consulting</v>
      </c>
      <c r="C27" s="46"/>
      <c r="D27" s="46"/>
      <c r="E27" s="46"/>
      <c r="F27" s="46"/>
      <c r="G27" s="46"/>
      <c r="H27" s="205" t="s">
        <v>127</v>
      </c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7">
        <f t="shared" si="9"/>
        <v>0</v>
      </c>
      <c r="V2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8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ht="14.25">
      <c r="A28" s="85">
        <f t="shared" si="5"/>
        <v>28</v>
      </c>
      <c r="B28" s="86" t="str">
        <f t="shared" si="4"/>
        <v xml:space="preserve">      6310 Auditor Fees</v>
      </c>
      <c r="C28" s="46"/>
      <c r="D28" s="46"/>
      <c r="E28" s="46"/>
      <c r="F28" s="46"/>
      <c r="G28" s="46"/>
      <c r="H28" s="205" t="s">
        <v>255</v>
      </c>
      <c r="I28" s="206"/>
      <c r="J28" s="206"/>
      <c r="K28" s="207">
        <f>950</f>
        <v>950</v>
      </c>
      <c r="L28" s="206"/>
      <c r="M28" s="206"/>
      <c r="N28" s="206"/>
      <c r="O28" s="206"/>
      <c r="P28" s="206"/>
      <c r="Q28" s="206"/>
      <c r="R28" s="206"/>
      <c r="S28" s="206"/>
      <c r="T28" s="206"/>
      <c r="U28" s="207">
        <f t="shared" si="9"/>
        <v>950</v>
      </c>
      <c r="V28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ht="14.25">
      <c r="A29" s="85">
        <f t="shared" si="5"/>
        <v>29</v>
      </c>
      <c r="B29" s="86" t="str">
        <f t="shared" si="4"/>
        <v xml:space="preserve">      6320 Legal Fees</v>
      </c>
      <c r="C29" s="46"/>
      <c r="D29" s="46"/>
      <c r="E29" s="46"/>
      <c r="F29" s="46"/>
      <c r="G29" s="46"/>
      <c r="H29" s="205" t="s">
        <v>260</v>
      </c>
      <c r="I29" s="206"/>
      <c r="J29" s="206"/>
      <c r="K29" s="207">
        <f>730.11</f>
        <v>730.11</v>
      </c>
      <c r="L29" s="206"/>
      <c r="M29" s="206"/>
      <c r="N29" s="206"/>
      <c r="O29" s="206"/>
      <c r="P29" s="206"/>
      <c r="Q29" s="206"/>
      <c r="R29" s="206"/>
      <c r="S29" s="206"/>
      <c r="T29" s="206"/>
      <c r="U29" s="207">
        <f t="shared" si="9"/>
        <v>730.11</v>
      </c>
      <c r="V29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ht="14.25">
      <c r="A30" s="85">
        <f t="shared" si="5"/>
        <v>30</v>
      </c>
      <c r="B30" s="86" t="str">
        <f t="shared" si="4"/>
        <v xml:space="preserve">      6330 Accounting Fees</v>
      </c>
      <c r="C30" s="46"/>
      <c r="D30" s="46"/>
      <c r="E30" s="46"/>
      <c r="F30" s="46"/>
      <c r="G30" s="46"/>
      <c r="H30" s="205" t="s">
        <v>195</v>
      </c>
      <c r="I30" s="206"/>
      <c r="J30" s="207">
        <f>878.75</f>
        <v>878.75</v>
      </c>
      <c r="K30" s="206"/>
      <c r="L30" s="207">
        <f>810</f>
        <v>810</v>
      </c>
      <c r="M30" s="206"/>
      <c r="N30" s="206"/>
      <c r="O30" s="206"/>
      <c r="P30" s="207">
        <f>843.75</f>
        <v>843.75</v>
      </c>
      <c r="Q30" s="206"/>
      <c r="R30" s="206"/>
      <c r="S30" s="207">
        <f>810</f>
        <v>810</v>
      </c>
      <c r="T30" s="206"/>
      <c r="U30" s="207">
        <f t="shared" si="9"/>
        <v>3342.5</v>
      </c>
      <c r="V30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8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ht="14.25">
      <c r="A31" s="85">
        <f t="shared" si="5"/>
        <v>31</v>
      </c>
      <c r="B31" s="86" t="str">
        <f t="shared" si="4"/>
        <v xml:space="preserve">   Total 6300 Consulting</v>
      </c>
      <c r="C31" s="46"/>
      <c r="D31" s="46"/>
      <c r="E31" s="46"/>
      <c r="F31" s="46"/>
      <c r="G31" s="46"/>
      <c r="H31" s="205" t="s">
        <v>93</v>
      </c>
      <c r="I31" s="208">
        <f t="shared" ref="I31:T31" si="17">(((I27)+(I28))+(I29))+(I30)</f>
        <v>0</v>
      </c>
      <c r="J31" s="208">
        <f t="shared" si="17"/>
        <v>878.75</v>
      </c>
      <c r="K31" s="208">
        <f t="shared" si="17"/>
        <v>1680.1100000000001</v>
      </c>
      <c r="L31" s="208">
        <f t="shared" si="17"/>
        <v>810</v>
      </c>
      <c r="M31" s="208">
        <f t="shared" si="17"/>
        <v>0</v>
      </c>
      <c r="N31" s="208">
        <f t="shared" si="17"/>
        <v>0</v>
      </c>
      <c r="O31" s="208">
        <f t="shared" si="17"/>
        <v>0</v>
      </c>
      <c r="P31" s="208">
        <f t="shared" si="17"/>
        <v>843.75</v>
      </c>
      <c r="Q31" s="208">
        <f t="shared" si="17"/>
        <v>0</v>
      </c>
      <c r="R31" s="208">
        <f t="shared" si="17"/>
        <v>0</v>
      </c>
      <c r="S31" s="208">
        <f t="shared" si="17"/>
        <v>810</v>
      </c>
      <c r="T31" s="208">
        <f t="shared" si="17"/>
        <v>0</v>
      </c>
      <c r="U31" s="208">
        <f t="shared" si="9"/>
        <v>5022.6100000000006</v>
      </c>
      <c r="V31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8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ht="14.25">
      <c r="A32" s="85">
        <f t="shared" si="5"/>
        <v>32</v>
      </c>
      <c r="B32" s="86" t="str">
        <f t="shared" si="4"/>
        <v xml:space="preserve">   6400 Office Expenses</v>
      </c>
      <c r="C32" s="46"/>
      <c r="D32" s="46"/>
      <c r="E32" s="46"/>
      <c r="F32" s="46"/>
      <c r="G32" s="46"/>
      <c r="H32" s="205" t="s">
        <v>128</v>
      </c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7">
        <f t="shared" si="9"/>
        <v>0</v>
      </c>
      <c r="V32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8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ht="14.25">
      <c r="A33" s="85">
        <f t="shared" si="5"/>
        <v>33</v>
      </c>
      <c r="B33" s="86" t="str">
        <f t="shared" si="4"/>
        <v xml:space="preserve">      6410 Office Supplies</v>
      </c>
      <c r="C33" s="46"/>
      <c r="D33" s="46"/>
      <c r="E33" s="46"/>
      <c r="F33" s="46"/>
      <c r="G33" s="46"/>
      <c r="H33" s="205" t="s">
        <v>129</v>
      </c>
      <c r="I33" s="206"/>
      <c r="J33" s="206"/>
      <c r="K33" s="206"/>
      <c r="L33" s="206"/>
      <c r="M33" s="207">
        <f>107.79</f>
        <v>107.79</v>
      </c>
      <c r="N33" s="206"/>
      <c r="O33" s="206"/>
      <c r="P33" s="206"/>
      <c r="Q33" s="206"/>
      <c r="R33" s="206"/>
      <c r="S33" s="206"/>
      <c r="T33" s="207">
        <f>1171.92</f>
        <v>1171.92</v>
      </c>
      <c r="U33" s="207">
        <f t="shared" si="9"/>
        <v>1279.71</v>
      </c>
      <c r="V33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8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ht="14.25">
      <c r="A34" s="85">
        <f t="shared" si="5"/>
        <v>34</v>
      </c>
      <c r="B34" s="86" t="str">
        <f t="shared" si="4"/>
        <v xml:space="preserve">      6420 Postage &amp; Mailing</v>
      </c>
      <c r="C34" s="46"/>
      <c r="D34" s="46"/>
      <c r="E34" s="46"/>
      <c r="F34" s="46"/>
      <c r="G34" s="46"/>
      <c r="H34" s="205" t="s">
        <v>196</v>
      </c>
      <c r="I34" s="206"/>
      <c r="J34" s="207">
        <f>4.66</f>
        <v>4.66</v>
      </c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7">
        <f t="shared" si="9"/>
        <v>4.66</v>
      </c>
      <c r="V34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8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ht="14.25">
      <c r="A35" s="85">
        <f t="shared" si="5"/>
        <v>35</v>
      </c>
      <c r="B35" s="86" t="str">
        <f t="shared" si="4"/>
        <v xml:space="preserve">      6430 Printing &amp; Copying</v>
      </c>
      <c r="C35" s="46"/>
      <c r="D35" s="46"/>
      <c r="E35" s="46"/>
      <c r="F35" s="46"/>
      <c r="G35" s="46"/>
      <c r="H35" s="205" t="s">
        <v>278</v>
      </c>
      <c r="I35" s="207">
        <f>16.74</f>
        <v>16.739999999999998</v>
      </c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7">
        <f t="shared" si="9"/>
        <v>16.739999999999998</v>
      </c>
      <c r="V35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ht="14.25">
      <c r="A36" s="85">
        <f t="shared" si="5"/>
        <v>36</v>
      </c>
      <c r="B36" s="86" t="str">
        <f t="shared" si="4"/>
        <v xml:space="preserve">      6440 Dues &amp; Subscriptions</v>
      </c>
      <c r="C36" s="46"/>
      <c r="D36" s="46"/>
      <c r="E36" s="46"/>
      <c r="F36" s="46"/>
      <c r="G36" s="46"/>
      <c r="H36" s="205" t="s">
        <v>130</v>
      </c>
      <c r="I36" s="207">
        <f>150</f>
        <v>150</v>
      </c>
      <c r="J36" s="206"/>
      <c r="K36" s="206"/>
      <c r="L36" s="206"/>
      <c r="M36" s="206"/>
      <c r="N36" s="206"/>
      <c r="O36" s="206"/>
      <c r="P36" s="207">
        <f>99</f>
        <v>99</v>
      </c>
      <c r="Q36" s="206"/>
      <c r="R36" s="206"/>
      <c r="S36" s="206"/>
      <c r="T36" s="206"/>
      <c r="U36" s="207">
        <f t="shared" si="9"/>
        <v>249</v>
      </c>
      <c r="V36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8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ht="14.25">
      <c r="A37" s="85">
        <f t="shared" si="5"/>
        <v>37</v>
      </c>
      <c r="B37" s="86" t="str">
        <f t="shared" si="4"/>
        <v xml:space="preserve">      6450 Payroll Service Fees</v>
      </c>
      <c r="C37" s="46"/>
      <c r="D37" s="46"/>
      <c r="E37" s="46"/>
      <c r="F37" s="46"/>
      <c r="G37" s="46"/>
      <c r="H37" s="205" t="s">
        <v>229</v>
      </c>
      <c r="I37" s="207">
        <f>123.61</f>
        <v>123.61</v>
      </c>
      <c r="J37" s="206"/>
      <c r="K37" s="207">
        <f>62.36</f>
        <v>62.36</v>
      </c>
      <c r="L37" s="207">
        <f>62.36</f>
        <v>62.36</v>
      </c>
      <c r="M37" s="206"/>
      <c r="N37" s="207">
        <f>62.36</f>
        <v>62.36</v>
      </c>
      <c r="O37" s="206"/>
      <c r="P37" s="206"/>
      <c r="Q37" s="207">
        <f>65.48</f>
        <v>65.48</v>
      </c>
      <c r="R37" s="206"/>
      <c r="S37" s="207">
        <f>65.48</f>
        <v>65.48</v>
      </c>
      <c r="T37" s="207">
        <f>65.48</f>
        <v>65.48</v>
      </c>
      <c r="U37" s="207">
        <f t="shared" si="9"/>
        <v>507.13000000000005</v>
      </c>
      <c r="V3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8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ht="14.25">
      <c r="A38" s="85">
        <f t="shared" si="5"/>
        <v>38</v>
      </c>
      <c r="B38" s="86" t="str">
        <f t="shared" si="4"/>
        <v xml:space="preserve">      6460 Bank Fees</v>
      </c>
      <c r="C38" s="46"/>
      <c r="D38" s="46"/>
      <c r="E38" s="46"/>
      <c r="F38" s="46"/>
      <c r="G38" s="46"/>
      <c r="H38" s="205" t="s">
        <v>131</v>
      </c>
      <c r="I38" s="207">
        <f>186.1</f>
        <v>186.1</v>
      </c>
      <c r="J38" s="207">
        <f>6.1</f>
        <v>6.1</v>
      </c>
      <c r="K38" s="207">
        <f>45.1</f>
        <v>45.1</v>
      </c>
      <c r="L38" s="207">
        <f>5.4</f>
        <v>5.4</v>
      </c>
      <c r="M38" s="207">
        <f>35.11</f>
        <v>35.11</v>
      </c>
      <c r="N38" s="207">
        <f>58</f>
        <v>58</v>
      </c>
      <c r="O38" s="207">
        <f>10.4</f>
        <v>10.4</v>
      </c>
      <c r="P38" s="207">
        <f>27.11</f>
        <v>27.11</v>
      </c>
      <c r="Q38" s="207">
        <f>11.4</f>
        <v>11.4</v>
      </c>
      <c r="R38" s="207">
        <f>10.2</f>
        <v>10.199999999999999</v>
      </c>
      <c r="S38" s="207">
        <f>14.1</f>
        <v>14.1</v>
      </c>
      <c r="T38" s="207">
        <f>886.56</f>
        <v>886.56</v>
      </c>
      <c r="U38" s="207">
        <f t="shared" si="9"/>
        <v>1295.58</v>
      </c>
      <c r="V38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ht="14.25">
      <c r="A39" s="85">
        <f t="shared" si="5"/>
        <v>39</v>
      </c>
      <c r="B39" s="86" t="str">
        <f t="shared" si="4"/>
        <v xml:space="preserve">      6470 Filing Fees</v>
      </c>
      <c r="C39" s="46"/>
      <c r="D39" s="46"/>
      <c r="E39" s="46"/>
      <c r="F39" s="46"/>
      <c r="G39" s="46"/>
      <c r="H39" s="205" t="s">
        <v>311</v>
      </c>
      <c r="I39" s="206"/>
      <c r="J39" s="206"/>
      <c r="K39" s="206"/>
      <c r="L39" s="206"/>
      <c r="M39" s="206"/>
      <c r="N39" s="206"/>
      <c r="O39" s="206"/>
      <c r="P39" s="207">
        <f>75</f>
        <v>75</v>
      </c>
      <c r="Q39" s="206"/>
      <c r="R39" s="206"/>
      <c r="S39" s="206"/>
      <c r="T39" s="206"/>
      <c r="U39" s="207">
        <f t="shared" si="9"/>
        <v>75</v>
      </c>
      <c r="V39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8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ht="14.25">
      <c r="A40" s="85">
        <f t="shared" si="5"/>
        <v>40</v>
      </c>
      <c r="B40" s="86" t="str">
        <f t="shared" si="4"/>
        <v xml:space="preserve">   Total 6400 Office Expenses</v>
      </c>
      <c r="C40" s="46"/>
      <c r="D40" s="46"/>
      <c r="E40" s="46"/>
      <c r="F40" s="46"/>
      <c r="G40" s="46"/>
      <c r="H40" s="205" t="s">
        <v>95</v>
      </c>
      <c r="I40" s="208">
        <f t="shared" ref="I40:T40" si="18">(((((((I32)+(I33))+(I34))+(I35))+(I36))+(I37))+(I38))+(I39)</f>
        <v>476.45000000000005</v>
      </c>
      <c r="J40" s="208">
        <f t="shared" si="18"/>
        <v>10.76</v>
      </c>
      <c r="K40" s="208">
        <f t="shared" si="18"/>
        <v>107.46000000000001</v>
      </c>
      <c r="L40" s="208">
        <f t="shared" si="18"/>
        <v>67.760000000000005</v>
      </c>
      <c r="M40" s="208">
        <f t="shared" si="18"/>
        <v>142.9</v>
      </c>
      <c r="N40" s="208">
        <f t="shared" si="18"/>
        <v>120.36</v>
      </c>
      <c r="O40" s="208">
        <f t="shared" si="18"/>
        <v>10.4</v>
      </c>
      <c r="P40" s="208">
        <f t="shared" si="18"/>
        <v>201.11</v>
      </c>
      <c r="Q40" s="208">
        <f t="shared" si="18"/>
        <v>76.88000000000001</v>
      </c>
      <c r="R40" s="208">
        <f t="shared" si="18"/>
        <v>10.199999999999999</v>
      </c>
      <c r="S40" s="208">
        <f t="shared" si="18"/>
        <v>79.58</v>
      </c>
      <c r="T40" s="208">
        <f t="shared" si="18"/>
        <v>2123.96</v>
      </c>
      <c r="U40" s="208">
        <f t="shared" si="9"/>
        <v>3427.82</v>
      </c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8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ht="14.25">
      <c r="A41" s="85">
        <f t="shared" si="5"/>
        <v>41</v>
      </c>
      <c r="B41" s="86" t="str">
        <f t="shared" si="4"/>
        <v xml:space="preserve">   7100 Conferences</v>
      </c>
      <c r="C41" s="46"/>
      <c r="D41" s="46"/>
      <c r="E41" s="46"/>
      <c r="F41" s="46"/>
      <c r="G41" s="46"/>
      <c r="H41" s="205" t="s">
        <v>96</v>
      </c>
      <c r="I41" s="207">
        <f>280</f>
        <v>280</v>
      </c>
      <c r="J41" s="206"/>
      <c r="K41" s="206"/>
      <c r="L41" s="207">
        <f>295</f>
        <v>295</v>
      </c>
      <c r="M41" s="206"/>
      <c r="N41" s="206"/>
      <c r="O41" s="206"/>
      <c r="P41" s="206"/>
      <c r="Q41" s="206"/>
      <c r="R41" s="206"/>
      <c r="S41" s="206"/>
      <c r="T41" s="207">
        <f>150</f>
        <v>150</v>
      </c>
      <c r="U41" s="207">
        <f t="shared" si="9"/>
        <v>725</v>
      </c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8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ht="14.25">
      <c r="A42" s="85">
        <f t="shared" si="5"/>
        <v>42</v>
      </c>
      <c r="B42" s="86" t="str">
        <f t="shared" si="4"/>
        <v xml:space="preserve">   7300 Travel</v>
      </c>
      <c r="C42" s="46"/>
      <c r="D42" s="46"/>
      <c r="E42" s="46"/>
      <c r="F42" s="46"/>
      <c r="G42" s="46"/>
      <c r="H42" s="205" t="s">
        <v>98</v>
      </c>
      <c r="I42" s="206"/>
      <c r="J42" s="207">
        <f>1173.43</f>
        <v>1173.43</v>
      </c>
      <c r="K42" s="206"/>
      <c r="L42" s="207">
        <f>804.29</f>
        <v>804.29</v>
      </c>
      <c r="M42" s="207">
        <f>97.97</f>
        <v>97.97</v>
      </c>
      <c r="N42" s="207">
        <f>74.7</f>
        <v>74.7</v>
      </c>
      <c r="O42" s="207">
        <f>42.18</f>
        <v>42.18</v>
      </c>
      <c r="P42" s="207">
        <f>29.41</f>
        <v>29.41</v>
      </c>
      <c r="Q42" s="207">
        <f>124.2</f>
        <v>124.2</v>
      </c>
      <c r="R42" s="207">
        <f>43.9</f>
        <v>43.9</v>
      </c>
      <c r="S42" s="207">
        <f>59.53</f>
        <v>59.53</v>
      </c>
      <c r="T42" s="207">
        <f>9.05</f>
        <v>9.0500000000000007</v>
      </c>
      <c r="U42" s="207">
        <f t="shared" si="9"/>
        <v>2458.66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8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ht="14.25">
      <c r="A43" s="85">
        <f t="shared" si="5"/>
        <v>43</v>
      </c>
      <c r="B43" s="86" t="str">
        <f t="shared" si="4"/>
        <v xml:space="preserve">   7400 Advertising &amp; Promotions</v>
      </c>
      <c r="C43" s="46"/>
      <c r="D43" s="46"/>
      <c r="E43" s="46"/>
      <c r="F43" s="46"/>
      <c r="G43" s="46"/>
      <c r="H43" s="205" t="s">
        <v>100</v>
      </c>
      <c r="I43" s="207">
        <f>150</f>
        <v>150</v>
      </c>
      <c r="J43" s="207">
        <f>150</f>
        <v>150</v>
      </c>
      <c r="K43" s="207">
        <f>150</f>
        <v>150</v>
      </c>
      <c r="L43" s="207">
        <f>150</f>
        <v>150</v>
      </c>
      <c r="M43" s="207">
        <f>181</f>
        <v>181</v>
      </c>
      <c r="N43" s="207">
        <f>160</f>
        <v>160</v>
      </c>
      <c r="O43" s="207">
        <f>160</f>
        <v>160</v>
      </c>
      <c r="P43" s="207">
        <f>160</f>
        <v>160</v>
      </c>
      <c r="Q43" s="207">
        <f>-80</f>
        <v>-80</v>
      </c>
      <c r="R43" s="207">
        <f>54.29</f>
        <v>54.29</v>
      </c>
      <c r="S43" s="207">
        <f>78.35</f>
        <v>78.349999999999994</v>
      </c>
      <c r="T43" s="207">
        <f>42.66</f>
        <v>42.66</v>
      </c>
      <c r="U43" s="207">
        <f t="shared" si="9"/>
        <v>1356.3</v>
      </c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8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ht="14.25">
      <c r="A44" s="85">
        <f t="shared" si="5"/>
        <v>44</v>
      </c>
      <c r="B44" s="86" t="str">
        <f t="shared" si="4"/>
        <v xml:space="preserve">   7500 Website &amp; IT Support</v>
      </c>
      <c r="C44" s="46"/>
      <c r="D44" s="46"/>
      <c r="E44" s="46"/>
      <c r="F44" s="46"/>
      <c r="G44" s="46"/>
      <c r="H44" s="205" t="s">
        <v>101</v>
      </c>
      <c r="I44" s="207">
        <f>2626.19</f>
        <v>2626.19</v>
      </c>
      <c r="J44" s="207">
        <f>3039.19</f>
        <v>3039.19</v>
      </c>
      <c r="K44" s="207">
        <f>2815.71</f>
        <v>2815.71</v>
      </c>
      <c r="L44" s="207">
        <f>2465.39</f>
        <v>2465.39</v>
      </c>
      <c r="M44" s="207">
        <f>2202.7</f>
        <v>2202.6999999999998</v>
      </c>
      <c r="N44" s="207">
        <f>1968.86</f>
        <v>1968.86</v>
      </c>
      <c r="O44" s="207">
        <f>1705.6</f>
        <v>1705.6</v>
      </c>
      <c r="P44" s="207">
        <f>1619.72</f>
        <v>1619.72</v>
      </c>
      <c r="Q44" s="207">
        <f>836.88</f>
        <v>836.88</v>
      </c>
      <c r="R44" s="207">
        <f>1902.25</f>
        <v>1902.25</v>
      </c>
      <c r="S44" s="207">
        <f>1585.55</f>
        <v>1585.55</v>
      </c>
      <c r="T44" s="207">
        <f>1922.46</f>
        <v>1922.46</v>
      </c>
      <c r="U44" s="207">
        <f t="shared" si="9"/>
        <v>24690.5</v>
      </c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8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ht="14.25">
      <c r="A45" s="85">
        <f t="shared" si="5"/>
        <v>45</v>
      </c>
      <c r="B45" s="86" t="str">
        <f t="shared" si="4"/>
        <v xml:space="preserve">   7800 Meals &amp; Entertainment</v>
      </c>
      <c r="C45" s="46"/>
      <c r="D45" s="46"/>
      <c r="E45" s="46"/>
      <c r="F45" s="46"/>
      <c r="G45" s="46"/>
      <c r="H45" s="205" t="s">
        <v>223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7">
        <f>84.54</f>
        <v>84.54</v>
      </c>
      <c r="U45" s="207">
        <f t="shared" si="9"/>
        <v>84.54</v>
      </c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8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ht="14.25">
      <c r="A46" s="85">
        <f t="shared" si="5"/>
        <v>46</v>
      </c>
      <c r="B46" s="86" t="str">
        <f t="shared" si="4"/>
        <v>Total Expenditures</v>
      </c>
      <c r="C46" s="46"/>
      <c r="D46" s="46"/>
      <c r="E46" s="46"/>
      <c r="F46" s="46"/>
      <c r="G46" s="46"/>
      <c r="H46" s="205" t="s">
        <v>57</v>
      </c>
      <c r="I46" s="208">
        <f t="shared" ref="I46:T46" si="19">(((((((((I19)+(I23))+(I26))+(I31))+(I40))+(I41))+(I42))+(I43))+(I44))+(I45)</f>
        <v>18887.36</v>
      </c>
      <c r="J46" s="208">
        <f t="shared" si="19"/>
        <v>20637.349999999999</v>
      </c>
      <c r="K46" s="208">
        <f t="shared" si="19"/>
        <v>20327.499999999996</v>
      </c>
      <c r="L46" s="208">
        <f t="shared" si="19"/>
        <v>19947.760000000002</v>
      </c>
      <c r="M46" s="208">
        <f t="shared" si="19"/>
        <v>18028.819999999996</v>
      </c>
      <c r="N46" s="208">
        <f t="shared" si="19"/>
        <v>18048.669999999998</v>
      </c>
      <c r="O46" s="208">
        <f t="shared" si="19"/>
        <v>17425.41</v>
      </c>
      <c r="P46" s="208">
        <f t="shared" si="19"/>
        <v>18355.48</v>
      </c>
      <c r="Q46" s="208">
        <f t="shared" si="19"/>
        <v>16678.949999999997</v>
      </c>
      <c r="R46" s="208">
        <f t="shared" si="19"/>
        <v>16354.930000000002</v>
      </c>
      <c r="S46" s="208">
        <f t="shared" si="19"/>
        <v>15998.89</v>
      </c>
      <c r="T46" s="208">
        <f t="shared" si="19"/>
        <v>-61055.810000000005</v>
      </c>
      <c r="U46" s="208">
        <f t="shared" si="9"/>
        <v>139635.31</v>
      </c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8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4.25">
      <c r="A47" s="85">
        <f t="shared" si="5"/>
        <v>47</v>
      </c>
      <c r="B47" s="86" t="str">
        <f t="shared" si="4"/>
        <v>Net Operating Revenue</v>
      </c>
      <c r="C47" s="46"/>
      <c r="D47" s="46"/>
      <c r="E47" s="46"/>
      <c r="F47" s="46"/>
      <c r="G47" s="46"/>
      <c r="H47" s="205" t="s">
        <v>132</v>
      </c>
      <c r="I47" s="208">
        <f t="shared" ref="I47:T47" si="20">(I10)-(I46)</f>
        <v>-13150.830000000002</v>
      </c>
      <c r="J47" s="208">
        <f t="shared" si="20"/>
        <v>-18107.349999999999</v>
      </c>
      <c r="K47" s="208">
        <f t="shared" si="20"/>
        <v>-19112.499999999996</v>
      </c>
      <c r="L47" s="208">
        <f t="shared" si="20"/>
        <v>-18427.760000000002</v>
      </c>
      <c r="M47" s="208">
        <f t="shared" si="20"/>
        <v>-16298.819999999996</v>
      </c>
      <c r="N47" s="208">
        <f t="shared" si="20"/>
        <v>43746.33</v>
      </c>
      <c r="O47" s="208">
        <f t="shared" si="20"/>
        <v>-3707.41</v>
      </c>
      <c r="P47" s="208">
        <f t="shared" si="20"/>
        <v>-10930.48</v>
      </c>
      <c r="Q47" s="208">
        <f t="shared" si="20"/>
        <v>-13758.949999999997</v>
      </c>
      <c r="R47" s="208">
        <f t="shared" si="20"/>
        <v>30405.07</v>
      </c>
      <c r="S47" s="208">
        <f t="shared" si="20"/>
        <v>-10668.89</v>
      </c>
      <c r="T47" s="208">
        <f t="shared" si="20"/>
        <v>119140.44</v>
      </c>
      <c r="U47" s="208">
        <f t="shared" si="9"/>
        <v>69128.850000000006</v>
      </c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ht="14.25">
      <c r="A48" s="85">
        <f t="shared" si="5"/>
        <v>48</v>
      </c>
      <c r="B48" s="86" t="str">
        <f t="shared" si="4"/>
        <v>Other Expenditures</v>
      </c>
      <c r="C48" s="46"/>
      <c r="D48" s="46"/>
      <c r="E48" s="46"/>
      <c r="F48" s="46"/>
      <c r="G48" s="46"/>
      <c r="H48" s="205" t="s">
        <v>350</v>
      </c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ht="14.25">
      <c r="A49" s="85">
        <f t="shared" si="5"/>
        <v>49</v>
      </c>
      <c r="B49" s="86" t="str">
        <f t="shared" si="4"/>
        <v xml:space="preserve">   8000 Depreciation Expenses</v>
      </c>
      <c r="C49" s="46"/>
      <c r="D49" s="46"/>
      <c r="E49" s="46"/>
      <c r="F49" s="46"/>
      <c r="G49" s="46"/>
      <c r="H49" s="205" t="s">
        <v>219</v>
      </c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7">
        <f>7587.88</f>
        <v>7587.88</v>
      </c>
      <c r="U49" s="207">
        <f>(((((((((((I49)+(J49))+(K49))+(L49))+(M49))+(N49))+(O49))+(P49))+(Q49))+(R49))+(S49))+(T49)</f>
        <v>7587.88</v>
      </c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8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ht="14.25">
      <c r="A50" s="85">
        <f t="shared" si="5"/>
        <v>50</v>
      </c>
      <c r="B50" s="86" t="str">
        <f t="shared" si="4"/>
        <v>Total Other Expenditures</v>
      </c>
      <c r="C50" s="46"/>
      <c r="D50" s="46"/>
      <c r="E50" s="46"/>
      <c r="F50" s="46"/>
      <c r="G50" s="46"/>
      <c r="H50" s="205" t="s">
        <v>351</v>
      </c>
      <c r="I50" s="208">
        <f t="shared" ref="I50:T50" si="21">I49</f>
        <v>0</v>
      </c>
      <c r="J50" s="208">
        <f t="shared" si="21"/>
        <v>0</v>
      </c>
      <c r="K50" s="208">
        <f t="shared" si="21"/>
        <v>0</v>
      </c>
      <c r="L50" s="208">
        <f t="shared" si="21"/>
        <v>0</v>
      </c>
      <c r="M50" s="208">
        <f t="shared" si="21"/>
        <v>0</v>
      </c>
      <c r="N50" s="208">
        <f t="shared" si="21"/>
        <v>0</v>
      </c>
      <c r="O50" s="208">
        <f t="shared" si="21"/>
        <v>0</v>
      </c>
      <c r="P50" s="208">
        <f t="shared" si="21"/>
        <v>0</v>
      </c>
      <c r="Q50" s="208">
        <f t="shared" si="21"/>
        <v>0</v>
      </c>
      <c r="R50" s="208">
        <f t="shared" si="21"/>
        <v>0</v>
      </c>
      <c r="S50" s="208">
        <f t="shared" si="21"/>
        <v>0</v>
      </c>
      <c r="T50" s="208">
        <f t="shared" si="21"/>
        <v>7587.88</v>
      </c>
      <c r="U50" s="208">
        <f>(((((((((((I50)+(J50))+(K50))+(L50))+(M50))+(N50))+(O50))+(P50))+(Q50))+(R50))+(S50))+(T50)</f>
        <v>7587.88</v>
      </c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8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ht="14.25">
      <c r="A51" s="85">
        <f t="shared" si="5"/>
        <v>51</v>
      </c>
      <c r="B51" s="86" t="str">
        <f t="shared" si="4"/>
        <v>Net Other Revenue</v>
      </c>
      <c r="C51" s="46"/>
      <c r="D51" s="46"/>
      <c r="E51" s="46"/>
      <c r="F51" s="46"/>
      <c r="G51" s="46"/>
      <c r="H51" s="205" t="s">
        <v>352</v>
      </c>
      <c r="I51" s="208">
        <f t="shared" ref="I51:T51" si="22">(0)-(I50)</f>
        <v>0</v>
      </c>
      <c r="J51" s="208">
        <f t="shared" si="22"/>
        <v>0</v>
      </c>
      <c r="K51" s="208">
        <f t="shared" si="22"/>
        <v>0</v>
      </c>
      <c r="L51" s="208">
        <f t="shared" si="22"/>
        <v>0</v>
      </c>
      <c r="M51" s="208">
        <f t="shared" si="22"/>
        <v>0</v>
      </c>
      <c r="N51" s="208">
        <f t="shared" si="22"/>
        <v>0</v>
      </c>
      <c r="O51" s="208">
        <f t="shared" si="22"/>
        <v>0</v>
      </c>
      <c r="P51" s="208">
        <f t="shared" si="22"/>
        <v>0</v>
      </c>
      <c r="Q51" s="208">
        <f t="shared" si="22"/>
        <v>0</v>
      </c>
      <c r="R51" s="208">
        <f t="shared" si="22"/>
        <v>0</v>
      </c>
      <c r="S51" s="208">
        <f t="shared" si="22"/>
        <v>0</v>
      </c>
      <c r="T51" s="208">
        <f t="shared" si="22"/>
        <v>-7587.88</v>
      </c>
      <c r="U51" s="208">
        <f>(((((((((((I51)+(J51))+(K51))+(L51))+(M51))+(N51))+(O51))+(P51))+(Q51))+(R51))+(S51))+(T51)</f>
        <v>-7587.88</v>
      </c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8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ht="14.25">
      <c r="A52" s="85">
        <f t="shared" si="5"/>
        <v>52</v>
      </c>
      <c r="B52" s="86" t="str">
        <f t="shared" si="4"/>
        <v>Net Revenue</v>
      </c>
      <c r="C52" s="46"/>
      <c r="D52" s="46"/>
      <c r="E52" s="46"/>
      <c r="F52" s="46"/>
      <c r="G52" s="46"/>
      <c r="H52" s="205" t="s">
        <v>66</v>
      </c>
      <c r="I52" s="208">
        <f t="shared" ref="I52:T52" si="23">(I47)+(I51)</f>
        <v>-13150.830000000002</v>
      </c>
      <c r="J52" s="208">
        <f t="shared" si="23"/>
        <v>-18107.349999999999</v>
      </c>
      <c r="K52" s="208">
        <f t="shared" si="23"/>
        <v>-19112.499999999996</v>
      </c>
      <c r="L52" s="208">
        <f t="shared" si="23"/>
        <v>-18427.760000000002</v>
      </c>
      <c r="M52" s="208">
        <f t="shared" si="23"/>
        <v>-16298.819999999996</v>
      </c>
      <c r="N52" s="208">
        <f t="shared" si="23"/>
        <v>43746.33</v>
      </c>
      <c r="O52" s="208">
        <f t="shared" si="23"/>
        <v>-3707.41</v>
      </c>
      <c r="P52" s="208">
        <f t="shared" si="23"/>
        <v>-10930.48</v>
      </c>
      <c r="Q52" s="208">
        <f t="shared" si="23"/>
        <v>-13758.949999999997</v>
      </c>
      <c r="R52" s="208">
        <f t="shared" si="23"/>
        <v>30405.07</v>
      </c>
      <c r="S52" s="208">
        <f t="shared" si="23"/>
        <v>-10668.89</v>
      </c>
      <c r="T52" s="208">
        <f t="shared" si="23"/>
        <v>111552.56</v>
      </c>
      <c r="U52" s="208">
        <f>(((((((((((I52)+(J52))+(K52))+(L52))+(M52))+(N52))+(O52))+(P52))+(Q52))+(R52))+(S52))+(T52)</f>
        <v>61540.970000000008</v>
      </c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ht="14.25">
      <c r="A53" s="85">
        <f t="shared" si="5"/>
        <v>53</v>
      </c>
      <c r="B53" s="86" t="str">
        <f t="shared" si="4"/>
        <v/>
      </c>
      <c r="C53" s="46"/>
      <c r="D53" s="46"/>
      <c r="E53" s="46"/>
      <c r="F53" s="46"/>
      <c r="G53" s="46"/>
      <c r="H53" s="46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8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ht="14.25">
      <c r="A54" s="85">
        <f t="shared" si="5"/>
        <v>54</v>
      </c>
      <c r="B54" s="86" t="str">
        <f t="shared" si="4"/>
        <v/>
      </c>
      <c r="C54" s="46"/>
      <c r="D54" s="46"/>
      <c r="E54" s="46"/>
      <c r="F54" s="46"/>
      <c r="G54" s="46"/>
      <c r="H54" s="4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8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ht="14.25">
      <c r="A55" s="85">
        <f t="shared" si="5"/>
        <v>55</v>
      </c>
      <c r="B55" s="86" t="str">
        <f t="shared" si="4"/>
        <v/>
      </c>
      <c r="C55" s="46"/>
      <c r="D55" s="46"/>
      <c r="E55" s="46"/>
      <c r="F55" s="46"/>
      <c r="G55" s="46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8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ht="14.25">
      <c r="A56" s="85">
        <f t="shared" si="5"/>
        <v>56</v>
      </c>
      <c r="B56" s="86" t="str">
        <f t="shared" si="4"/>
        <v/>
      </c>
      <c r="C56" s="46"/>
      <c r="D56" s="46"/>
      <c r="E56" s="46"/>
      <c r="F56" s="46"/>
      <c r="G56" s="46"/>
      <c r="H56" s="46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8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ht="14.25">
      <c r="A57" s="85">
        <f t="shared" si="5"/>
        <v>57</v>
      </c>
      <c r="B57" s="86" t="str">
        <f t="shared" si="4"/>
        <v/>
      </c>
      <c r="C57" s="46"/>
      <c r="D57" s="46"/>
      <c r="E57" s="46"/>
      <c r="F57" s="46"/>
      <c r="G57" s="46"/>
      <c r="H57" s="46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8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ht="14.25">
      <c r="A58" s="85">
        <f t="shared" si="5"/>
        <v>58</v>
      </c>
      <c r="B58" s="86" t="str">
        <f t="shared" si="4"/>
        <v/>
      </c>
      <c r="C58" s="46"/>
      <c r="D58" s="46"/>
      <c r="E58" s="46"/>
      <c r="F58" s="46"/>
      <c r="G58" s="46"/>
      <c r="H58" s="46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ht="14.25">
      <c r="A59" s="85">
        <f t="shared" si="5"/>
        <v>59</v>
      </c>
      <c r="B59" s="86" t="str">
        <f t="shared" si="4"/>
        <v/>
      </c>
      <c r="C59" s="46"/>
      <c r="D59" s="46"/>
      <c r="E59" s="46"/>
      <c r="F59" s="46"/>
      <c r="G59" s="46"/>
      <c r="H59" s="46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ht="14.25">
      <c r="A60" s="85">
        <f t="shared" si="5"/>
        <v>60</v>
      </c>
      <c r="B60" s="86" t="str">
        <f t="shared" si="4"/>
        <v/>
      </c>
      <c r="C60" s="46"/>
      <c r="D60" s="46"/>
      <c r="E60" s="46"/>
      <c r="F60" s="46"/>
      <c r="G60" s="46"/>
      <c r="H60" s="46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ht="14.25">
      <c r="A61" s="85">
        <f t="shared" si="5"/>
        <v>61</v>
      </c>
      <c r="B61" s="86" t="str">
        <f t="shared" si="4"/>
        <v/>
      </c>
      <c r="C61" s="46"/>
      <c r="D61" s="46"/>
      <c r="E61" s="46"/>
      <c r="F61" s="46"/>
      <c r="G61" s="46"/>
      <c r="H61" s="46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8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ht="14.25">
      <c r="A62" s="85">
        <f t="shared" si="5"/>
        <v>62</v>
      </c>
      <c r="B62" s="86" t="str">
        <f t="shared" si="4"/>
        <v/>
      </c>
      <c r="C62" s="46"/>
      <c r="D62" s="46"/>
      <c r="E62" s="46"/>
      <c r="F62" s="46"/>
      <c r="G62" s="46"/>
      <c r="H62" s="46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ht="14.25">
      <c r="A63" s="85">
        <f t="shared" si="5"/>
        <v>63</v>
      </c>
      <c r="B63" s="86" t="str">
        <f t="shared" si="4"/>
        <v/>
      </c>
      <c r="C63" s="46"/>
      <c r="D63" s="46"/>
      <c r="E63" s="46"/>
      <c r="F63" s="46"/>
      <c r="G63" s="46"/>
      <c r="H63" s="46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8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ht="14.25">
      <c r="A64" s="85">
        <f t="shared" si="5"/>
        <v>64</v>
      </c>
      <c r="B64" s="86" t="str">
        <f t="shared" si="4"/>
        <v/>
      </c>
      <c r="C64" s="46"/>
      <c r="D64" s="46"/>
      <c r="E64" s="46"/>
      <c r="F64" s="46"/>
      <c r="G64" s="46"/>
      <c r="H64" s="46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8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60" ht="14.25">
      <c r="A65" s="85">
        <f t="shared" si="5"/>
        <v>65</v>
      </c>
      <c r="B65" s="86" t="str">
        <f t="shared" si="4"/>
        <v/>
      </c>
      <c r="C65" s="46"/>
      <c r="D65" s="46"/>
      <c r="E65" s="46"/>
      <c r="F65" s="46"/>
      <c r="G65" s="46"/>
      <c r="H65" s="46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8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</row>
    <row r="66" spans="1:60" ht="14.25">
      <c r="A66" s="85">
        <f t="shared" si="5"/>
        <v>66</v>
      </c>
      <c r="B66" s="86" t="str">
        <f t="shared" si="4"/>
        <v/>
      </c>
      <c r="C66" s="46"/>
      <c r="D66" s="46"/>
      <c r="E66" s="46"/>
      <c r="F66" s="46"/>
      <c r="G66" s="46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8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</row>
    <row r="67" spans="1:60" ht="14.25">
      <c r="A67" s="85">
        <f t="shared" si="5"/>
        <v>67</v>
      </c>
      <c r="B67" s="86" t="str">
        <f t="shared" ref="B67:B130" si="24">C67&amp;D67&amp;E67&amp;F67&amp;G67&amp;H67</f>
        <v/>
      </c>
      <c r="C67" s="46"/>
      <c r="D67" s="46"/>
      <c r="E67" s="46"/>
      <c r="F67" s="46"/>
      <c r="G67" s="46"/>
      <c r="H67" s="46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8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</row>
    <row r="68" spans="1:60" ht="14.25">
      <c r="A68" s="85">
        <f t="shared" ref="A68:A131" si="25">A67+1</f>
        <v>68</v>
      </c>
      <c r="B68" s="86" t="str">
        <f t="shared" si="24"/>
        <v/>
      </c>
      <c r="C68" s="46"/>
      <c r="D68" s="46"/>
      <c r="E68" s="46"/>
      <c r="F68" s="46"/>
      <c r="G68" s="46"/>
      <c r="H68" s="46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</row>
    <row r="69" spans="1:60" ht="14.25">
      <c r="A69" s="85">
        <f t="shared" si="25"/>
        <v>69</v>
      </c>
      <c r="B69" s="86" t="str">
        <f t="shared" si="24"/>
        <v/>
      </c>
      <c r="C69" s="46"/>
      <c r="D69" s="46"/>
      <c r="E69" s="46"/>
      <c r="F69" s="46"/>
      <c r="G69" s="46"/>
      <c r="H69" s="46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8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</row>
    <row r="70" spans="1:60" ht="14.25">
      <c r="A70" s="85">
        <f t="shared" si="25"/>
        <v>70</v>
      </c>
      <c r="B70" s="86" t="str">
        <f t="shared" si="24"/>
        <v/>
      </c>
      <c r="C70" s="46"/>
      <c r="D70" s="46"/>
      <c r="E70" s="46"/>
      <c r="F70" s="46"/>
      <c r="G70" s="46"/>
      <c r="H70" s="46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8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</row>
    <row r="71" spans="1:60" ht="14.25">
      <c r="A71" s="85">
        <f t="shared" si="25"/>
        <v>71</v>
      </c>
      <c r="B71" s="86" t="str">
        <f t="shared" si="24"/>
        <v/>
      </c>
      <c r="C71" s="46"/>
      <c r="D71" s="46"/>
      <c r="E71" s="46"/>
      <c r="F71" s="46"/>
      <c r="G71" s="46"/>
      <c r="H71" s="46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8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</row>
    <row r="72" spans="1:60" ht="14.25">
      <c r="A72" s="85">
        <f t="shared" si="25"/>
        <v>72</v>
      </c>
      <c r="B72" s="86" t="str">
        <f t="shared" si="24"/>
        <v/>
      </c>
      <c r="C72" s="46"/>
      <c r="D72" s="46"/>
      <c r="E72" s="46"/>
      <c r="F72" s="46"/>
      <c r="G72" s="46"/>
      <c r="H72" s="46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8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</row>
    <row r="73" spans="1:60" ht="14.25">
      <c r="A73" s="85">
        <f t="shared" si="25"/>
        <v>73</v>
      </c>
      <c r="B73" s="86" t="str">
        <f t="shared" si="24"/>
        <v/>
      </c>
      <c r="C73" s="46"/>
      <c r="D73" s="46"/>
      <c r="E73" s="46"/>
      <c r="F73" s="46"/>
      <c r="G73" s="46"/>
      <c r="H73" s="46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8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</row>
    <row r="74" spans="1:60" ht="14.25">
      <c r="A74" s="85">
        <f t="shared" si="25"/>
        <v>74</v>
      </c>
      <c r="B74" s="86" t="str">
        <f t="shared" si="24"/>
        <v/>
      </c>
      <c r="C74" s="46"/>
      <c r="D74" s="46"/>
      <c r="E74" s="46"/>
      <c r="F74" s="46"/>
      <c r="G74" s="46"/>
      <c r="H74" s="46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8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</row>
    <row r="75" spans="1:60" ht="14.25">
      <c r="A75" s="85">
        <f t="shared" si="25"/>
        <v>75</v>
      </c>
      <c r="B75" s="86" t="str">
        <f t="shared" si="24"/>
        <v/>
      </c>
      <c r="C75" s="46"/>
      <c r="D75" s="46"/>
      <c r="E75" s="46"/>
      <c r="F75" s="46"/>
      <c r="G75" s="46"/>
      <c r="H75" s="46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8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</row>
    <row r="76" spans="1:60" ht="14.25">
      <c r="A76" s="85">
        <f t="shared" si="25"/>
        <v>76</v>
      </c>
      <c r="B76" s="86" t="str">
        <f t="shared" si="24"/>
        <v/>
      </c>
      <c r="C76" s="46"/>
      <c r="D76" s="46"/>
      <c r="E76" s="46"/>
      <c r="F76" s="46"/>
      <c r="G76" s="46"/>
      <c r="H76" s="46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8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</row>
    <row r="77" spans="1:60" ht="14.25">
      <c r="A77" s="85">
        <f t="shared" si="25"/>
        <v>77</v>
      </c>
      <c r="B77" s="86" t="str">
        <f t="shared" si="24"/>
        <v/>
      </c>
      <c r="C77" s="46"/>
      <c r="D77" s="46"/>
      <c r="E77" s="46"/>
      <c r="F77" s="46"/>
      <c r="G77" s="46"/>
      <c r="H77" s="46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8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</row>
    <row r="78" spans="1:60" ht="14.25">
      <c r="A78" s="85">
        <f t="shared" si="25"/>
        <v>78</v>
      </c>
      <c r="B78" s="86" t="str">
        <f t="shared" si="24"/>
        <v/>
      </c>
      <c r="C78" s="46"/>
      <c r="D78" s="46"/>
      <c r="E78" s="46"/>
      <c r="F78" s="46"/>
      <c r="G78" s="46"/>
      <c r="H78" s="46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</row>
    <row r="79" spans="1:60" ht="14.25">
      <c r="A79" s="85">
        <f t="shared" si="25"/>
        <v>79</v>
      </c>
      <c r="B79" s="86" t="str">
        <f t="shared" si="24"/>
        <v/>
      </c>
      <c r="C79" s="46"/>
      <c r="D79" s="46"/>
      <c r="E79" s="46"/>
      <c r="F79" s="46"/>
      <c r="G79" s="46"/>
      <c r="H79" s="46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8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</row>
    <row r="80" spans="1:60" ht="14.25">
      <c r="A80" s="85">
        <f t="shared" si="25"/>
        <v>80</v>
      </c>
      <c r="B80" s="86" t="str">
        <f t="shared" si="24"/>
        <v/>
      </c>
      <c r="C80" s="46"/>
      <c r="D80" s="46"/>
      <c r="E80" s="46"/>
      <c r="F80" s="46"/>
      <c r="G80" s="46"/>
      <c r="H80" s="46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8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</row>
    <row r="81" spans="1:60" ht="14.25">
      <c r="A81" s="85">
        <f t="shared" si="25"/>
        <v>81</v>
      </c>
      <c r="B81" s="86" t="str">
        <f t="shared" si="24"/>
        <v/>
      </c>
      <c r="C81" s="46"/>
      <c r="D81" s="46"/>
      <c r="E81" s="46"/>
      <c r="F81" s="46"/>
      <c r="G81" s="46"/>
      <c r="H81" s="46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8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ht="14.25">
      <c r="A82" s="85">
        <f t="shared" si="25"/>
        <v>82</v>
      </c>
      <c r="B82" s="86" t="str">
        <f t="shared" si="24"/>
        <v/>
      </c>
      <c r="C82" s="46"/>
      <c r="D82" s="46"/>
      <c r="E82" s="46"/>
      <c r="F82" s="46"/>
      <c r="G82" s="46"/>
      <c r="H82" s="46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8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ht="14.25">
      <c r="A83" s="85">
        <f t="shared" si="25"/>
        <v>83</v>
      </c>
      <c r="B83" s="86" t="str">
        <f t="shared" si="24"/>
        <v/>
      </c>
      <c r="C83" s="46"/>
      <c r="D83" s="46"/>
      <c r="E83" s="46"/>
      <c r="F83" s="46"/>
      <c r="G83" s="46"/>
      <c r="H83" s="46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8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ht="14.25">
      <c r="A84" s="85">
        <f t="shared" si="25"/>
        <v>84</v>
      </c>
      <c r="B84" s="86" t="str">
        <f t="shared" si="24"/>
        <v/>
      </c>
      <c r="C84" s="46"/>
      <c r="D84" s="46"/>
      <c r="E84" s="46"/>
      <c r="F84" s="46"/>
      <c r="G84" s="46"/>
      <c r="H84" s="46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8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ht="14.25">
      <c r="A85" s="85">
        <f t="shared" si="25"/>
        <v>85</v>
      </c>
      <c r="B85" s="86" t="str">
        <f t="shared" si="24"/>
        <v/>
      </c>
      <c r="C85" s="46"/>
      <c r="D85" s="46"/>
      <c r="E85" s="46"/>
      <c r="F85" s="46"/>
      <c r="G85" s="46"/>
      <c r="H85" s="46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8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ht="14.25">
      <c r="A86" s="85">
        <f t="shared" si="25"/>
        <v>86</v>
      </c>
      <c r="B86" s="86" t="str">
        <f t="shared" si="24"/>
        <v/>
      </c>
      <c r="C86" s="46"/>
      <c r="D86" s="46"/>
      <c r="E86" s="46"/>
      <c r="F86" s="46"/>
      <c r="G86" s="46"/>
      <c r="H86" s="46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8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ht="14.25">
      <c r="A87" s="85">
        <f t="shared" si="25"/>
        <v>87</v>
      </c>
      <c r="B87" s="86" t="str">
        <f t="shared" si="24"/>
        <v/>
      </c>
      <c r="C87" s="46"/>
      <c r="D87" s="46"/>
      <c r="E87" s="46"/>
      <c r="F87" s="46"/>
      <c r="G87" s="46"/>
      <c r="H87" s="46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8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ht="14.25">
      <c r="A88" s="85">
        <f t="shared" si="25"/>
        <v>88</v>
      </c>
      <c r="B88" s="86" t="str">
        <f t="shared" si="24"/>
        <v/>
      </c>
      <c r="C88" s="46"/>
      <c r="D88" s="46"/>
      <c r="E88" s="46"/>
      <c r="F88" s="46"/>
      <c r="G88" s="46"/>
      <c r="H88" s="46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ht="14.25">
      <c r="A89" s="85">
        <f t="shared" si="25"/>
        <v>89</v>
      </c>
      <c r="B89" s="86" t="str">
        <f t="shared" si="24"/>
        <v/>
      </c>
      <c r="C89" s="46"/>
      <c r="D89" s="46"/>
      <c r="E89" s="46"/>
      <c r="F89" s="46"/>
      <c r="G89" s="46"/>
      <c r="H89" s="46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8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ht="14.25">
      <c r="A90" s="85">
        <f t="shared" si="25"/>
        <v>90</v>
      </c>
      <c r="B90" s="86" t="str">
        <f t="shared" si="24"/>
        <v/>
      </c>
      <c r="C90" s="46"/>
      <c r="D90" s="46"/>
      <c r="E90" s="46"/>
      <c r="F90" s="46"/>
      <c r="G90" s="46"/>
      <c r="H90" s="46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8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ht="14.25">
      <c r="A91" s="85">
        <f t="shared" si="25"/>
        <v>91</v>
      </c>
      <c r="B91" s="86" t="str">
        <f t="shared" si="24"/>
        <v/>
      </c>
      <c r="C91" s="46"/>
      <c r="D91" s="46"/>
      <c r="E91" s="46"/>
      <c r="F91" s="46"/>
      <c r="G91" s="46"/>
      <c r="H91" s="46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8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ht="14.25">
      <c r="A92" s="85">
        <f t="shared" si="25"/>
        <v>92</v>
      </c>
      <c r="B92" s="86" t="str">
        <f t="shared" si="24"/>
        <v/>
      </c>
      <c r="C92" s="46"/>
      <c r="D92" s="46"/>
      <c r="E92" s="46"/>
      <c r="F92" s="46"/>
      <c r="G92" s="46"/>
      <c r="H92" s="46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8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ht="14.25">
      <c r="A93" s="85">
        <f t="shared" si="25"/>
        <v>93</v>
      </c>
      <c r="B93" s="86" t="str">
        <f t="shared" si="24"/>
        <v/>
      </c>
      <c r="C93" s="46"/>
      <c r="D93" s="46"/>
      <c r="E93" s="46"/>
      <c r="F93" s="46"/>
      <c r="G93" s="46"/>
      <c r="H93" s="46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8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ht="14.25">
      <c r="A94" s="85">
        <f t="shared" si="25"/>
        <v>94</v>
      </c>
      <c r="B94" s="86" t="str">
        <f t="shared" si="24"/>
        <v/>
      </c>
      <c r="C94" s="46"/>
      <c r="D94" s="46"/>
      <c r="E94" s="46"/>
      <c r="F94" s="46"/>
      <c r="G94" s="46"/>
      <c r="H94" s="46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8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ht="14.25">
      <c r="A95" s="85">
        <f t="shared" si="25"/>
        <v>95</v>
      </c>
      <c r="B95" s="86" t="str">
        <f t="shared" si="24"/>
        <v/>
      </c>
      <c r="C95" s="46"/>
      <c r="D95" s="46"/>
      <c r="E95" s="46"/>
      <c r="F95" s="46"/>
      <c r="G95" s="46"/>
      <c r="H95" s="46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8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ht="14.25">
      <c r="A96" s="85">
        <f t="shared" si="25"/>
        <v>96</v>
      </c>
      <c r="B96" s="86" t="str">
        <f t="shared" si="24"/>
        <v/>
      </c>
      <c r="C96" s="46"/>
      <c r="D96" s="46"/>
      <c r="E96" s="46"/>
      <c r="F96" s="46"/>
      <c r="G96" s="46"/>
      <c r="H96" s="46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8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ht="14.25">
      <c r="A97" s="85">
        <f t="shared" si="25"/>
        <v>97</v>
      </c>
      <c r="B97" s="86" t="str">
        <f t="shared" si="24"/>
        <v/>
      </c>
      <c r="C97" s="46"/>
      <c r="D97" s="46"/>
      <c r="E97" s="46"/>
      <c r="F97" s="46"/>
      <c r="G97" s="46"/>
      <c r="H97" s="46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8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ht="14.25">
      <c r="A98" s="85">
        <f t="shared" si="25"/>
        <v>98</v>
      </c>
      <c r="B98" s="86" t="str">
        <f t="shared" si="24"/>
        <v/>
      </c>
      <c r="C98" s="46"/>
      <c r="D98" s="46"/>
      <c r="E98" s="46"/>
      <c r="F98" s="46"/>
      <c r="G98" s="46"/>
      <c r="H98" s="46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ht="14.25">
      <c r="A99" s="85">
        <f t="shared" si="25"/>
        <v>99</v>
      </c>
      <c r="B99" s="86" t="str">
        <f t="shared" si="24"/>
        <v/>
      </c>
      <c r="C99" s="46"/>
      <c r="D99" s="46"/>
      <c r="E99" s="46"/>
      <c r="F99" s="46"/>
      <c r="G99" s="46"/>
      <c r="H99" s="46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8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ht="14.25">
      <c r="A100" s="85">
        <f t="shared" si="25"/>
        <v>100</v>
      </c>
      <c r="B100" s="86" t="str">
        <f t="shared" si="24"/>
        <v/>
      </c>
      <c r="C100" s="46"/>
      <c r="D100" s="46"/>
      <c r="E100" s="46"/>
      <c r="F100" s="46"/>
      <c r="G100" s="46"/>
      <c r="H100" s="46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8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ht="14.25">
      <c r="A101" s="85">
        <f t="shared" si="25"/>
        <v>101</v>
      </c>
      <c r="B101" s="86" t="str">
        <f t="shared" si="24"/>
        <v/>
      </c>
      <c r="C101" s="46"/>
      <c r="D101" s="46"/>
      <c r="E101" s="46"/>
      <c r="F101" s="46"/>
      <c r="G101" s="46"/>
      <c r="H101" s="46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8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ht="14.25">
      <c r="A102" s="85">
        <f t="shared" si="25"/>
        <v>102</v>
      </c>
      <c r="B102" s="86" t="str">
        <f t="shared" si="24"/>
        <v/>
      </c>
      <c r="C102" s="46"/>
      <c r="D102" s="46"/>
      <c r="E102" s="46"/>
      <c r="F102" s="46"/>
      <c r="G102" s="46"/>
      <c r="H102" s="46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8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ht="14.25">
      <c r="A103" s="85">
        <f t="shared" si="25"/>
        <v>103</v>
      </c>
      <c r="B103" s="86" t="str">
        <f t="shared" si="24"/>
        <v/>
      </c>
      <c r="C103" s="46"/>
      <c r="D103" s="46"/>
      <c r="E103" s="46"/>
      <c r="F103" s="46"/>
      <c r="G103" s="46"/>
      <c r="H103" s="46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8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ht="14.25">
      <c r="A104" s="85">
        <f t="shared" si="25"/>
        <v>104</v>
      </c>
      <c r="B104" s="86" t="str">
        <f t="shared" si="24"/>
        <v/>
      </c>
      <c r="C104" s="46"/>
      <c r="D104" s="46"/>
      <c r="E104" s="46"/>
      <c r="F104" s="46"/>
      <c r="G104" s="46"/>
      <c r="H104" s="46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8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ht="14.25">
      <c r="A105" s="85">
        <f t="shared" si="25"/>
        <v>105</v>
      </c>
      <c r="B105" s="86" t="str">
        <f t="shared" si="24"/>
        <v/>
      </c>
      <c r="C105" s="46"/>
      <c r="D105" s="46"/>
      <c r="E105" s="46"/>
      <c r="F105" s="46"/>
      <c r="G105" s="46"/>
      <c r="H105" s="46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8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ht="14.25">
      <c r="A106" s="85">
        <f t="shared" si="25"/>
        <v>106</v>
      </c>
      <c r="B106" s="86" t="str">
        <f t="shared" si="24"/>
        <v/>
      </c>
      <c r="C106" s="46"/>
      <c r="D106" s="46"/>
      <c r="E106" s="46"/>
      <c r="F106" s="46"/>
      <c r="G106" s="46"/>
      <c r="H106" s="46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8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ht="14.25">
      <c r="A107" s="85">
        <f t="shared" si="25"/>
        <v>107</v>
      </c>
      <c r="B107" s="86" t="str">
        <f t="shared" si="24"/>
        <v/>
      </c>
      <c r="C107" s="46"/>
      <c r="D107" s="46"/>
      <c r="E107" s="46"/>
      <c r="F107" s="46"/>
      <c r="G107" s="46"/>
      <c r="H107" s="46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8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ht="14.25">
      <c r="A108" s="85">
        <f t="shared" si="25"/>
        <v>108</v>
      </c>
      <c r="B108" s="86" t="str">
        <f t="shared" si="24"/>
        <v/>
      </c>
      <c r="C108" s="46"/>
      <c r="D108" s="46"/>
      <c r="E108" s="46"/>
      <c r="F108" s="46"/>
      <c r="G108" s="46"/>
      <c r="H108" s="46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ht="14.25">
      <c r="A109" s="85">
        <f t="shared" si="25"/>
        <v>109</v>
      </c>
      <c r="B109" s="86" t="str">
        <f t="shared" si="24"/>
        <v/>
      </c>
      <c r="C109" s="46"/>
      <c r="D109" s="46"/>
      <c r="E109" s="46"/>
      <c r="F109" s="46"/>
      <c r="G109" s="46"/>
      <c r="H109" s="46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8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ht="14.25">
      <c r="A110" s="85">
        <f t="shared" si="25"/>
        <v>110</v>
      </c>
      <c r="B110" s="86" t="str">
        <f t="shared" si="24"/>
        <v/>
      </c>
      <c r="C110" s="46"/>
      <c r="D110" s="46"/>
      <c r="E110" s="46"/>
      <c r="F110" s="46"/>
      <c r="G110" s="46"/>
      <c r="H110" s="46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8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ht="14.25">
      <c r="A111" s="85">
        <f t="shared" si="25"/>
        <v>111</v>
      </c>
      <c r="B111" s="86" t="str">
        <f t="shared" si="24"/>
        <v/>
      </c>
      <c r="C111" s="46"/>
      <c r="D111" s="46"/>
      <c r="E111" s="46"/>
      <c r="F111" s="46"/>
      <c r="G111" s="46"/>
      <c r="H111" s="46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8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ht="14.25">
      <c r="A112" s="85">
        <f t="shared" si="25"/>
        <v>112</v>
      </c>
      <c r="B112" s="86" t="str">
        <f t="shared" si="24"/>
        <v/>
      </c>
      <c r="C112" s="46"/>
      <c r="D112" s="46"/>
      <c r="E112" s="46"/>
      <c r="F112" s="46"/>
      <c r="G112" s="46"/>
      <c r="H112" s="46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8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ht="14.25">
      <c r="A113" s="85">
        <f t="shared" si="25"/>
        <v>113</v>
      </c>
      <c r="B113" s="86" t="str">
        <f t="shared" si="24"/>
        <v/>
      </c>
      <c r="C113" s="46"/>
      <c r="D113" s="46"/>
      <c r="E113" s="46"/>
      <c r="F113" s="46"/>
      <c r="G113" s="46"/>
      <c r="H113" s="46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8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ht="14.25">
      <c r="A114" s="85">
        <f t="shared" si="25"/>
        <v>114</v>
      </c>
      <c r="B114" s="86" t="str">
        <f t="shared" si="24"/>
        <v/>
      </c>
      <c r="C114" s="46"/>
      <c r="D114" s="46"/>
      <c r="E114" s="46"/>
      <c r="F114" s="46"/>
      <c r="G114" s="46"/>
      <c r="H114" s="46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8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ht="14.25">
      <c r="A115" s="85">
        <f t="shared" si="25"/>
        <v>115</v>
      </c>
      <c r="B115" s="86" t="str">
        <f t="shared" si="24"/>
        <v/>
      </c>
      <c r="C115" s="46"/>
      <c r="D115" s="46"/>
      <c r="E115" s="46"/>
      <c r="F115" s="46"/>
      <c r="G115" s="46"/>
      <c r="H115" s="46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8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ht="14.25">
      <c r="A116" s="85">
        <f t="shared" si="25"/>
        <v>116</v>
      </c>
      <c r="B116" s="86" t="str">
        <f t="shared" si="24"/>
        <v/>
      </c>
      <c r="C116" s="46"/>
      <c r="D116" s="46"/>
      <c r="E116" s="46"/>
      <c r="F116" s="46"/>
      <c r="G116" s="46"/>
      <c r="H116" s="46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8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ht="14.25">
      <c r="A117" s="85">
        <f t="shared" si="25"/>
        <v>117</v>
      </c>
      <c r="B117" s="86" t="str">
        <f t="shared" si="24"/>
        <v/>
      </c>
      <c r="C117" s="46"/>
      <c r="D117" s="46"/>
      <c r="E117" s="46"/>
      <c r="F117" s="46"/>
      <c r="G117" s="46"/>
      <c r="H117" s="46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8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ht="14.25">
      <c r="A118" s="85">
        <f t="shared" si="25"/>
        <v>118</v>
      </c>
      <c r="B118" s="86" t="str">
        <f t="shared" si="24"/>
        <v/>
      </c>
      <c r="C118" s="46"/>
      <c r="D118" s="46"/>
      <c r="E118" s="46"/>
      <c r="F118" s="46"/>
      <c r="G118" s="46"/>
      <c r="H118" s="46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ht="14.25">
      <c r="A119" s="85">
        <f t="shared" si="25"/>
        <v>119</v>
      </c>
      <c r="B119" s="86" t="str">
        <f t="shared" si="24"/>
        <v/>
      </c>
      <c r="C119" s="46"/>
      <c r="D119" s="46"/>
      <c r="E119" s="46"/>
      <c r="F119" s="46"/>
      <c r="G119" s="46"/>
      <c r="H119" s="46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8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ht="14.25">
      <c r="A120" s="85">
        <f t="shared" si="25"/>
        <v>120</v>
      </c>
      <c r="B120" s="86" t="str">
        <f t="shared" si="24"/>
        <v/>
      </c>
      <c r="C120" s="46"/>
      <c r="D120" s="46"/>
      <c r="E120" s="46"/>
      <c r="F120" s="46"/>
      <c r="G120" s="46"/>
      <c r="H120" s="46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8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ht="14.25">
      <c r="A121" s="85">
        <f t="shared" si="25"/>
        <v>121</v>
      </c>
      <c r="B121" s="86" t="str">
        <f t="shared" si="24"/>
        <v/>
      </c>
      <c r="C121" s="46"/>
      <c r="D121" s="46"/>
      <c r="E121" s="46"/>
      <c r="F121" s="46"/>
      <c r="G121" s="46"/>
      <c r="H121" s="46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8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ht="14.25">
      <c r="A122" s="85">
        <f t="shared" si="25"/>
        <v>122</v>
      </c>
      <c r="B122" s="86" t="str">
        <f t="shared" si="24"/>
        <v/>
      </c>
      <c r="C122" s="46"/>
      <c r="D122" s="46"/>
      <c r="E122" s="46"/>
      <c r="F122" s="46"/>
      <c r="G122" s="46"/>
      <c r="H122" s="46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8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ht="14.25">
      <c r="A123" s="85">
        <f t="shared" si="25"/>
        <v>123</v>
      </c>
      <c r="B123" s="86" t="str">
        <f t="shared" si="24"/>
        <v/>
      </c>
      <c r="C123" s="46"/>
      <c r="D123" s="46"/>
      <c r="E123" s="46"/>
      <c r="F123" s="46"/>
      <c r="G123" s="46"/>
      <c r="H123" s="46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8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ht="14.25">
      <c r="A124" s="85">
        <f t="shared" si="25"/>
        <v>124</v>
      </c>
      <c r="B124" s="86" t="str">
        <f t="shared" si="24"/>
        <v/>
      </c>
      <c r="C124" s="46"/>
      <c r="D124" s="46"/>
      <c r="E124" s="46"/>
      <c r="F124" s="46"/>
      <c r="G124" s="46"/>
      <c r="H124" s="46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8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ht="14.25">
      <c r="A125" s="85">
        <f t="shared" si="25"/>
        <v>125</v>
      </c>
      <c r="B125" s="86" t="str">
        <f t="shared" si="24"/>
        <v/>
      </c>
      <c r="C125" s="46"/>
      <c r="D125" s="46"/>
      <c r="E125" s="46"/>
      <c r="F125" s="46"/>
      <c r="G125" s="46"/>
      <c r="H125" s="46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8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ht="14.25">
      <c r="A126" s="85">
        <f t="shared" si="25"/>
        <v>126</v>
      </c>
      <c r="B126" s="86" t="str">
        <f t="shared" si="24"/>
        <v/>
      </c>
      <c r="C126" s="46"/>
      <c r="D126" s="46"/>
      <c r="E126" s="46"/>
      <c r="F126" s="46"/>
      <c r="G126" s="46"/>
      <c r="H126" s="46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8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ht="14.25">
      <c r="A127" s="85">
        <f t="shared" si="25"/>
        <v>127</v>
      </c>
      <c r="B127" s="86" t="str">
        <f t="shared" si="24"/>
        <v/>
      </c>
      <c r="C127" s="46"/>
      <c r="D127" s="46"/>
      <c r="E127" s="46"/>
      <c r="F127" s="46"/>
      <c r="G127" s="46"/>
      <c r="H127" s="46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8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ht="14.25">
      <c r="A128" s="85">
        <f t="shared" si="25"/>
        <v>128</v>
      </c>
      <c r="B128" s="86" t="str">
        <f t="shared" si="24"/>
        <v/>
      </c>
      <c r="C128" s="46"/>
      <c r="D128" s="46"/>
      <c r="E128" s="46"/>
      <c r="F128" s="46"/>
      <c r="G128" s="46"/>
      <c r="H128" s="46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ht="14.25">
      <c r="A129" s="85">
        <f t="shared" si="25"/>
        <v>129</v>
      </c>
      <c r="B129" s="86" t="str">
        <f t="shared" si="24"/>
        <v/>
      </c>
      <c r="C129" s="46"/>
      <c r="D129" s="46"/>
      <c r="E129" s="46"/>
      <c r="F129" s="46"/>
      <c r="G129" s="46"/>
      <c r="H129" s="46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8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ht="14.25">
      <c r="A130" s="85">
        <f t="shared" si="25"/>
        <v>130</v>
      </c>
      <c r="B130" s="86" t="str">
        <f t="shared" si="24"/>
        <v/>
      </c>
      <c r="C130" s="46"/>
      <c r="D130" s="46"/>
      <c r="E130" s="46"/>
      <c r="F130" s="46"/>
      <c r="G130" s="46"/>
      <c r="H130" s="46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8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ht="14.25">
      <c r="A131" s="85">
        <f t="shared" si="25"/>
        <v>131</v>
      </c>
      <c r="B131" s="86" t="str">
        <f t="shared" ref="B131:B159" si="26">C131&amp;D131&amp;E131&amp;F131&amp;G131&amp;H131</f>
        <v/>
      </c>
      <c r="C131" s="46"/>
      <c r="D131" s="46"/>
      <c r="E131" s="46"/>
      <c r="F131" s="46"/>
      <c r="G131" s="46"/>
      <c r="H131" s="46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8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ht="14.25">
      <c r="A132" s="85">
        <f t="shared" ref="A132:A195" si="27">A131+1</f>
        <v>132</v>
      </c>
      <c r="B132" s="86" t="str">
        <f t="shared" si="26"/>
        <v/>
      </c>
      <c r="C132" s="46"/>
      <c r="D132" s="46"/>
      <c r="E132" s="46"/>
      <c r="F132" s="46"/>
      <c r="G132" s="46"/>
      <c r="H132" s="46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8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ht="14.25">
      <c r="A133" s="85">
        <f t="shared" si="27"/>
        <v>133</v>
      </c>
      <c r="B133" s="86" t="str">
        <f t="shared" si="26"/>
        <v/>
      </c>
      <c r="C133" s="46"/>
      <c r="D133" s="46"/>
      <c r="E133" s="46"/>
      <c r="F133" s="46"/>
      <c r="G133" s="46"/>
      <c r="H133" s="46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8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ht="14.25">
      <c r="A134" s="85">
        <f t="shared" si="27"/>
        <v>134</v>
      </c>
      <c r="B134" s="86" t="str">
        <f t="shared" si="26"/>
        <v/>
      </c>
      <c r="C134" s="46"/>
      <c r="D134" s="46"/>
      <c r="E134" s="46"/>
      <c r="F134" s="46"/>
      <c r="G134" s="46"/>
      <c r="H134" s="46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8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ht="14.25">
      <c r="A135" s="85">
        <f t="shared" si="27"/>
        <v>135</v>
      </c>
      <c r="B135" s="86" t="str">
        <f t="shared" si="26"/>
        <v/>
      </c>
      <c r="C135" s="46"/>
      <c r="D135" s="46"/>
      <c r="E135" s="46"/>
      <c r="F135" s="46"/>
      <c r="G135" s="46"/>
      <c r="H135" s="46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8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ht="14.25">
      <c r="A136" s="85">
        <f t="shared" si="27"/>
        <v>136</v>
      </c>
      <c r="B136" s="86" t="str">
        <f t="shared" si="26"/>
        <v/>
      </c>
      <c r="C136" s="46"/>
      <c r="D136" s="46"/>
      <c r="E136" s="46"/>
      <c r="F136" s="46"/>
      <c r="G136" s="46"/>
      <c r="H136" s="46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8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ht="14.25">
      <c r="A137" s="85">
        <f t="shared" si="27"/>
        <v>137</v>
      </c>
      <c r="B137" s="86" t="str">
        <f t="shared" si="26"/>
        <v/>
      </c>
      <c r="C137" s="46"/>
      <c r="D137" s="46"/>
      <c r="E137" s="46"/>
      <c r="F137" s="46"/>
      <c r="G137" s="46"/>
      <c r="H137" s="46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8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ht="14.25">
      <c r="A138" s="85">
        <f t="shared" si="27"/>
        <v>138</v>
      </c>
      <c r="B138" s="86" t="str">
        <f t="shared" si="26"/>
        <v/>
      </c>
      <c r="C138" s="46"/>
      <c r="D138" s="46"/>
      <c r="E138" s="46"/>
      <c r="F138" s="46"/>
      <c r="G138" s="46"/>
      <c r="H138" s="46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ht="14.25">
      <c r="A139" s="85">
        <f t="shared" si="27"/>
        <v>139</v>
      </c>
      <c r="B139" s="86" t="str">
        <f t="shared" si="26"/>
        <v/>
      </c>
      <c r="C139" s="46"/>
      <c r="D139" s="46"/>
      <c r="E139" s="46"/>
      <c r="F139" s="46"/>
      <c r="G139" s="46"/>
      <c r="H139" s="46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8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>
      <c r="A140" s="85">
        <f t="shared" si="27"/>
        <v>140</v>
      </c>
      <c r="B140" s="86" t="str">
        <f t="shared" si="26"/>
        <v/>
      </c>
      <c r="C140" s="46"/>
      <c r="D140" s="46"/>
      <c r="E140" s="46"/>
      <c r="F140" s="46"/>
      <c r="G140" s="46"/>
      <c r="H140" s="46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50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</row>
    <row r="141" spans="1:60" ht="14.25">
      <c r="A141" s="85">
        <f t="shared" si="27"/>
        <v>141</v>
      </c>
      <c r="B141" s="86" t="str">
        <f t="shared" si="26"/>
        <v/>
      </c>
      <c r="C141" s="51"/>
      <c r="D141" s="51"/>
      <c r="E141" s="51"/>
      <c r="F141" s="51"/>
      <c r="G141" s="51"/>
      <c r="H141" s="51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48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ht="14.25">
      <c r="A142" s="85">
        <f t="shared" si="27"/>
        <v>142</v>
      </c>
      <c r="B142" s="86" t="str">
        <f t="shared" si="26"/>
        <v/>
      </c>
      <c r="C142" s="51"/>
      <c r="D142" s="51"/>
      <c r="E142" s="51"/>
      <c r="F142" s="51"/>
      <c r="G142" s="51"/>
      <c r="H142" s="51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48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ht="14.25">
      <c r="A143" s="85">
        <f t="shared" si="27"/>
        <v>143</v>
      </c>
      <c r="B143" s="86" t="str">
        <f t="shared" si="26"/>
        <v/>
      </c>
      <c r="C143" s="51"/>
      <c r="D143" s="51"/>
      <c r="E143" s="51"/>
      <c r="F143" s="51"/>
      <c r="G143" s="51"/>
      <c r="H143" s="51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48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ht="14.25">
      <c r="A144" s="85">
        <f t="shared" si="27"/>
        <v>144</v>
      </c>
      <c r="B144" s="86" t="str">
        <f t="shared" si="26"/>
        <v/>
      </c>
      <c r="C144" s="51"/>
      <c r="D144" s="51"/>
      <c r="E144" s="51"/>
      <c r="F144" s="51"/>
      <c r="G144" s="51"/>
      <c r="H144" s="51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48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ht="14.25">
      <c r="A145" s="85">
        <f t="shared" si="27"/>
        <v>145</v>
      </c>
      <c r="B145" s="86" t="str">
        <f t="shared" si="26"/>
        <v/>
      </c>
      <c r="C145" s="51"/>
      <c r="D145" s="51"/>
      <c r="E145" s="51"/>
      <c r="F145" s="51"/>
      <c r="G145" s="51"/>
      <c r="H145" s="51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48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ht="14.25">
      <c r="A146" s="85">
        <f t="shared" si="27"/>
        <v>146</v>
      </c>
      <c r="B146" s="86" t="str">
        <f t="shared" si="26"/>
        <v/>
      </c>
      <c r="C146" s="51"/>
      <c r="D146" s="51"/>
      <c r="E146" s="51"/>
      <c r="F146" s="51"/>
      <c r="G146" s="51"/>
      <c r="H146" s="51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48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ht="14.25">
      <c r="A147" s="85">
        <f t="shared" si="27"/>
        <v>147</v>
      </c>
      <c r="B147" s="86" t="str">
        <f t="shared" si="26"/>
        <v/>
      </c>
      <c r="C147" s="51"/>
      <c r="D147" s="51"/>
      <c r="E147" s="51"/>
      <c r="F147" s="51"/>
      <c r="G147" s="51"/>
      <c r="H147" s="51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48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ht="14.25">
      <c r="A148" s="85">
        <f t="shared" si="27"/>
        <v>148</v>
      </c>
      <c r="B148" s="86" t="str">
        <f t="shared" si="26"/>
        <v/>
      </c>
      <c r="C148" s="51"/>
      <c r="D148" s="51"/>
      <c r="E148" s="51"/>
      <c r="F148" s="51"/>
      <c r="G148" s="51"/>
      <c r="H148" s="51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ht="14.25">
      <c r="A149" s="85">
        <f t="shared" si="27"/>
        <v>149</v>
      </c>
      <c r="B149" s="86" t="str">
        <f t="shared" si="26"/>
        <v/>
      </c>
      <c r="C149" s="51"/>
      <c r="D149" s="51"/>
      <c r="E149" s="51"/>
      <c r="F149" s="51"/>
      <c r="G149" s="51"/>
      <c r="H149" s="51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48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ht="14.25">
      <c r="A150" s="85">
        <f t="shared" si="27"/>
        <v>150</v>
      </c>
      <c r="B150" s="86" t="str">
        <f t="shared" si="26"/>
        <v/>
      </c>
      <c r="C150" s="51"/>
      <c r="D150" s="51"/>
      <c r="E150" s="51"/>
      <c r="F150" s="51"/>
      <c r="G150" s="51"/>
      <c r="H150" s="51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48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ht="14.25">
      <c r="A151" s="85">
        <f t="shared" si="27"/>
        <v>151</v>
      </c>
      <c r="B151" s="86" t="str">
        <f t="shared" si="26"/>
        <v/>
      </c>
      <c r="C151" s="51"/>
      <c r="D151" s="51"/>
      <c r="E151" s="51"/>
      <c r="F151" s="51"/>
      <c r="G151" s="51"/>
      <c r="H151" s="51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48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ht="14.25">
      <c r="A152" s="85">
        <f t="shared" si="27"/>
        <v>152</v>
      </c>
      <c r="B152" s="86" t="str">
        <f t="shared" si="26"/>
        <v/>
      </c>
      <c r="C152" s="51"/>
      <c r="D152" s="51"/>
      <c r="E152" s="51"/>
      <c r="F152" s="51"/>
      <c r="G152" s="51"/>
      <c r="H152" s="51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48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ht="14.25">
      <c r="A153" s="85">
        <f t="shared" si="27"/>
        <v>153</v>
      </c>
      <c r="B153" s="86" t="str">
        <f t="shared" si="26"/>
        <v/>
      </c>
      <c r="C153" s="51"/>
      <c r="D153" s="51"/>
      <c r="E153" s="51"/>
      <c r="F153" s="51"/>
      <c r="G153" s="51"/>
      <c r="H153" s="51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48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ht="14.25">
      <c r="A154" s="85">
        <f t="shared" si="27"/>
        <v>154</v>
      </c>
      <c r="B154" s="86" t="str">
        <f t="shared" si="26"/>
        <v/>
      </c>
      <c r="C154" s="51"/>
      <c r="D154" s="51"/>
      <c r="E154" s="51"/>
      <c r="F154" s="51"/>
      <c r="G154" s="51"/>
      <c r="H154" s="51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48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ht="14.25">
      <c r="A155" s="85">
        <f t="shared" si="27"/>
        <v>155</v>
      </c>
      <c r="B155" s="86" t="str">
        <f t="shared" si="26"/>
        <v/>
      </c>
      <c r="C155" s="51"/>
      <c r="D155" s="51"/>
      <c r="E155" s="51"/>
      <c r="F155" s="51"/>
      <c r="G155" s="51"/>
      <c r="H155" s="51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48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ht="14.25">
      <c r="A156" s="85">
        <f t="shared" si="27"/>
        <v>156</v>
      </c>
      <c r="B156" s="86" t="str">
        <f t="shared" si="26"/>
        <v/>
      </c>
      <c r="C156" s="51"/>
      <c r="D156" s="51"/>
      <c r="E156" s="51"/>
      <c r="F156" s="51"/>
      <c r="G156" s="51"/>
      <c r="H156" s="51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48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ht="14.25">
      <c r="A157" s="85">
        <f t="shared" si="27"/>
        <v>157</v>
      </c>
      <c r="B157" s="86" t="str">
        <f t="shared" si="26"/>
        <v/>
      </c>
      <c r="C157" s="51"/>
      <c r="D157" s="51"/>
      <c r="E157" s="51"/>
      <c r="F157" s="51"/>
      <c r="G157" s="51"/>
      <c r="H157" s="51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48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ht="14.25">
      <c r="A158" s="85">
        <f t="shared" si="27"/>
        <v>158</v>
      </c>
      <c r="B158" s="86" t="str">
        <f t="shared" si="26"/>
        <v/>
      </c>
      <c r="C158" s="51"/>
      <c r="D158" s="51"/>
      <c r="E158" s="51"/>
      <c r="F158" s="51"/>
      <c r="G158" s="51"/>
      <c r="H158" s="51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4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18" customFormat="1" ht="14.25">
      <c r="A159" s="85">
        <f t="shared" si="27"/>
        <v>159</v>
      </c>
      <c r="B159" s="86" t="str">
        <f t="shared" si="26"/>
        <v/>
      </c>
      <c r="C159" s="51"/>
      <c r="D159" s="51"/>
      <c r="E159" s="51"/>
      <c r="F159" s="51"/>
      <c r="G159" s="51"/>
      <c r="H159" s="51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48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ht="14.25">
      <c r="A160" s="85">
        <f t="shared" si="27"/>
        <v>160</v>
      </c>
      <c r="C160" s="51"/>
      <c r="D160" s="51"/>
      <c r="E160" s="51"/>
      <c r="F160" s="51"/>
      <c r="G160" s="51"/>
      <c r="H160" s="51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48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60" ht="14.25">
      <c r="A161" s="85">
        <f t="shared" si="27"/>
        <v>161</v>
      </c>
      <c r="C161" s="51"/>
      <c r="D161" s="51"/>
      <c r="E161" s="51"/>
      <c r="F161" s="51"/>
      <c r="G161" s="51"/>
      <c r="H161" s="51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48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</row>
    <row r="162" spans="1:60" ht="14.25">
      <c r="A162" s="85">
        <f t="shared" si="27"/>
        <v>162</v>
      </c>
      <c r="C162" s="51"/>
      <c r="D162" s="51"/>
      <c r="E162" s="51"/>
      <c r="F162" s="51"/>
      <c r="G162" s="51"/>
      <c r="H162" s="51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48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</row>
    <row r="163" spans="1:60" ht="14.25">
      <c r="A163" s="85">
        <f t="shared" si="27"/>
        <v>163</v>
      </c>
      <c r="C163" s="51"/>
      <c r="D163" s="51"/>
      <c r="E163" s="51"/>
      <c r="F163" s="51"/>
      <c r="G163" s="51"/>
      <c r="H163" s="51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48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</row>
    <row r="164" spans="1:60" ht="14.25">
      <c r="A164" s="85">
        <f t="shared" si="27"/>
        <v>164</v>
      </c>
      <c r="C164" s="51"/>
      <c r="D164" s="51"/>
      <c r="E164" s="51"/>
      <c r="F164" s="51"/>
      <c r="G164" s="51"/>
      <c r="H164" s="51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48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</row>
    <row r="165" spans="1:60" ht="14.25">
      <c r="A165" s="85">
        <f t="shared" si="27"/>
        <v>165</v>
      </c>
      <c r="C165" s="51"/>
      <c r="D165" s="51"/>
      <c r="E165" s="51"/>
      <c r="F165" s="51"/>
      <c r="G165" s="51"/>
      <c r="H165" s="51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48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</row>
    <row r="166" spans="1:60" ht="14.25">
      <c r="A166" s="85">
        <f t="shared" si="27"/>
        <v>166</v>
      </c>
      <c r="C166" s="51"/>
      <c r="D166" s="51"/>
      <c r="E166" s="51"/>
      <c r="F166" s="51"/>
      <c r="G166" s="51"/>
      <c r="H166" s="51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48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</row>
    <row r="167" spans="1:60" ht="14.25">
      <c r="A167" s="85">
        <f t="shared" si="27"/>
        <v>167</v>
      </c>
      <c r="C167" s="51"/>
      <c r="D167" s="51"/>
      <c r="E167" s="51"/>
      <c r="F167" s="51"/>
      <c r="G167" s="51"/>
      <c r="H167" s="51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48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</row>
    <row r="168" spans="1:60" ht="14.25">
      <c r="A168" s="85">
        <f t="shared" si="27"/>
        <v>168</v>
      </c>
      <c r="C168" s="51"/>
      <c r="D168" s="51"/>
      <c r="E168" s="51"/>
      <c r="F168" s="51"/>
      <c r="G168" s="51"/>
      <c r="H168" s="51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4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</row>
    <row r="169" spans="1:60" ht="14.25">
      <c r="A169" s="85">
        <f t="shared" si="27"/>
        <v>169</v>
      </c>
      <c r="C169" s="51"/>
      <c r="D169" s="51"/>
      <c r="E169" s="51"/>
      <c r="F169" s="51"/>
      <c r="G169" s="51"/>
      <c r="H169" s="51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48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</row>
    <row r="170" spans="1:60" ht="14.25">
      <c r="A170" s="85">
        <f t="shared" si="27"/>
        <v>170</v>
      </c>
      <c r="C170" s="51"/>
      <c r="D170" s="51"/>
      <c r="E170" s="51"/>
      <c r="F170" s="51"/>
      <c r="G170" s="51"/>
      <c r="H170" s="51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48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</row>
    <row r="171" spans="1:60" ht="14.25">
      <c r="A171" s="85">
        <f t="shared" si="27"/>
        <v>171</v>
      </c>
      <c r="C171" s="51"/>
      <c r="D171" s="51"/>
      <c r="E171" s="51"/>
      <c r="F171" s="51"/>
      <c r="G171" s="51"/>
      <c r="H171" s="51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48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</row>
    <row r="172" spans="1:60" ht="14.25">
      <c r="A172" s="85">
        <f t="shared" si="27"/>
        <v>172</v>
      </c>
      <c r="C172" s="51"/>
      <c r="D172" s="51"/>
      <c r="E172" s="51"/>
      <c r="F172" s="51"/>
      <c r="G172" s="51"/>
      <c r="H172" s="51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48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</row>
    <row r="173" spans="1:60" ht="14.25">
      <c r="A173" s="85">
        <f t="shared" si="27"/>
        <v>173</v>
      </c>
      <c r="C173" s="51"/>
      <c r="D173" s="51"/>
      <c r="E173" s="51"/>
      <c r="F173" s="51"/>
      <c r="G173" s="51"/>
      <c r="H173" s="51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48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</row>
    <row r="174" spans="1:60" ht="14.25">
      <c r="A174" s="85">
        <f t="shared" si="27"/>
        <v>174</v>
      </c>
      <c r="C174" s="51"/>
      <c r="D174" s="51"/>
      <c r="E174" s="51"/>
      <c r="F174" s="51"/>
      <c r="G174" s="51"/>
      <c r="H174" s="51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48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</row>
    <row r="175" spans="1:60" ht="14.25">
      <c r="A175" s="85">
        <f t="shared" si="27"/>
        <v>175</v>
      </c>
      <c r="C175" s="51"/>
      <c r="D175" s="51"/>
      <c r="E175" s="51"/>
      <c r="F175" s="51"/>
      <c r="G175" s="51"/>
      <c r="H175" s="51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48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</row>
    <row r="176" spans="1:60" ht="14.25">
      <c r="A176" s="85">
        <f t="shared" si="27"/>
        <v>176</v>
      </c>
      <c r="C176" s="51"/>
      <c r="D176" s="51"/>
      <c r="E176" s="51"/>
      <c r="F176" s="51"/>
      <c r="G176" s="51"/>
      <c r="H176" s="51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48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</row>
    <row r="177" spans="1:60" ht="14.25">
      <c r="A177" s="85">
        <f t="shared" si="27"/>
        <v>177</v>
      </c>
      <c r="C177" s="51"/>
      <c r="D177" s="51"/>
      <c r="E177" s="51"/>
      <c r="F177" s="51"/>
      <c r="G177" s="51"/>
      <c r="H177" s="51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48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</row>
    <row r="178" spans="1:60" ht="14.25">
      <c r="A178" s="85">
        <f t="shared" si="27"/>
        <v>178</v>
      </c>
      <c r="C178" s="51"/>
      <c r="D178" s="51"/>
      <c r="E178" s="51"/>
      <c r="F178" s="51"/>
      <c r="G178" s="51"/>
      <c r="H178" s="51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4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</row>
    <row r="179" spans="1:60" ht="14.25">
      <c r="A179" s="85">
        <f t="shared" si="27"/>
        <v>179</v>
      </c>
      <c r="C179" s="51"/>
      <c r="D179" s="51"/>
      <c r="E179" s="51"/>
      <c r="F179" s="51"/>
      <c r="G179" s="51"/>
      <c r="H179" s="51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48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</row>
    <row r="180" spans="1:60" ht="14.25">
      <c r="A180" s="85">
        <f t="shared" si="27"/>
        <v>180</v>
      </c>
      <c r="C180" s="51"/>
      <c r="D180" s="51"/>
      <c r="E180" s="51"/>
      <c r="F180" s="51"/>
      <c r="G180" s="51"/>
      <c r="H180" s="51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48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</row>
    <row r="181" spans="1:60" ht="14.25">
      <c r="A181" s="85">
        <f t="shared" si="27"/>
        <v>181</v>
      </c>
      <c r="C181" s="51"/>
      <c r="D181" s="51"/>
      <c r="E181" s="51"/>
      <c r="F181" s="51"/>
      <c r="G181" s="51"/>
      <c r="H181" s="51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48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</row>
    <row r="182" spans="1:60" ht="14.25">
      <c r="A182" s="85">
        <f t="shared" si="27"/>
        <v>182</v>
      </c>
      <c r="C182" s="51"/>
      <c r="D182" s="51"/>
      <c r="E182" s="51"/>
      <c r="F182" s="51"/>
      <c r="G182" s="51"/>
      <c r="H182" s="51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48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</row>
    <row r="183" spans="1:60" ht="14.25">
      <c r="A183" s="85">
        <f t="shared" si="27"/>
        <v>183</v>
      </c>
      <c r="C183" s="51"/>
      <c r="D183" s="51"/>
      <c r="E183" s="51"/>
      <c r="F183" s="51"/>
      <c r="G183" s="51"/>
      <c r="H183" s="51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48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</row>
    <row r="184" spans="1:60" ht="14.25">
      <c r="A184" s="85">
        <f t="shared" si="27"/>
        <v>184</v>
      </c>
      <c r="C184" s="51"/>
      <c r="D184" s="51"/>
      <c r="E184" s="51"/>
      <c r="F184" s="51"/>
      <c r="G184" s="51"/>
      <c r="H184" s="51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48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</row>
    <row r="185" spans="1:60" ht="14.25">
      <c r="A185" s="85">
        <f t="shared" si="27"/>
        <v>185</v>
      </c>
      <c r="C185" s="51"/>
      <c r="D185" s="51"/>
      <c r="E185" s="51"/>
      <c r="F185" s="51"/>
      <c r="G185" s="51"/>
      <c r="H185" s="51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48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</row>
    <row r="186" spans="1:60" ht="14.25">
      <c r="A186" s="85">
        <f t="shared" si="27"/>
        <v>186</v>
      </c>
      <c r="C186" s="51"/>
      <c r="D186" s="51"/>
      <c r="E186" s="51"/>
      <c r="F186" s="51"/>
      <c r="G186" s="51"/>
      <c r="H186" s="51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48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</row>
    <row r="187" spans="1:60" ht="14.25">
      <c r="A187" s="85">
        <f t="shared" si="27"/>
        <v>187</v>
      </c>
      <c r="C187" s="51"/>
      <c r="D187" s="51"/>
      <c r="E187" s="51"/>
      <c r="F187" s="51"/>
      <c r="G187" s="51"/>
      <c r="H187" s="51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48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</row>
    <row r="188" spans="1:60" ht="14.25">
      <c r="A188" s="85">
        <f t="shared" si="27"/>
        <v>188</v>
      </c>
      <c r="C188" s="51"/>
      <c r="D188" s="51"/>
      <c r="E188" s="51"/>
      <c r="F188" s="51"/>
      <c r="G188" s="51"/>
      <c r="H188" s="51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4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</row>
    <row r="189" spans="1:60" ht="14.25">
      <c r="A189" s="85">
        <f t="shared" si="27"/>
        <v>189</v>
      </c>
      <c r="C189" s="51"/>
      <c r="D189" s="51"/>
      <c r="E189" s="51"/>
      <c r="F189" s="51"/>
      <c r="G189" s="51"/>
      <c r="H189" s="51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48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</row>
    <row r="190" spans="1:60" ht="14.25">
      <c r="A190" s="85">
        <f t="shared" si="27"/>
        <v>190</v>
      </c>
      <c r="C190" s="51"/>
      <c r="D190" s="51"/>
      <c r="E190" s="51"/>
      <c r="F190" s="51"/>
      <c r="G190" s="51"/>
      <c r="H190" s="51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48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</row>
    <row r="191" spans="1:60" ht="14.25">
      <c r="A191" s="85">
        <f t="shared" si="27"/>
        <v>191</v>
      </c>
      <c r="C191" s="51"/>
      <c r="D191" s="51"/>
      <c r="E191" s="51"/>
      <c r="F191" s="51"/>
      <c r="G191" s="51"/>
      <c r="H191" s="51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48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</row>
    <row r="192" spans="1:60" ht="14.25">
      <c r="A192" s="85">
        <f t="shared" si="27"/>
        <v>192</v>
      </c>
      <c r="C192" s="51"/>
      <c r="D192" s="51"/>
      <c r="E192" s="51"/>
      <c r="F192" s="51"/>
      <c r="G192" s="51"/>
      <c r="H192" s="51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48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</row>
    <row r="193" spans="1:60" ht="14.25">
      <c r="A193" s="85">
        <f t="shared" si="27"/>
        <v>193</v>
      </c>
      <c r="C193" s="51"/>
      <c r="D193" s="51"/>
      <c r="E193" s="51"/>
      <c r="F193" s="51"/>
      <c r="G193" s="51"/>
      <c r="H193" s="51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48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</row>
    <row r="194" spans="1:60" ht="14.25">
      <c r="A194" s="85">
        <f t="shared" si="27"/>
        <v>194</v>
      </c>
      <c r="C194" s="51"/>
      <c r="D194" s="51"/>
      <c r="E194" s="51"/>
      <c r="F194" s="51"/>
      <c r="G194" s="51"/>
      <c r="H194" s="51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48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</row>
    <row r="195" spans="1:60" ht="14.25">
      <c r="A195" s="85">
        <f t="shared" si="27"/>
        <v>195</v>
      </c>
      <c r="C195" s="51"/>
      <c r="D195" s="51"/>
      <c r="E195" s="51"/>
      <c r="F195" s="51"/>
      <c r="G195" s="51"/>
      <c r="H195" s="51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48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</row>
    <row r="196" spans="1:60" ht="14.25">
      <c r="A196" s="85">
        <f t="shared" ref="A196:A201" si="28">A195+1</f>
        <v>196</v>
      </c>
      <c r="C196" s="51"/>
      <c r="D196" s="51"/>
      <c r="E196" s="51"/>
      <c r="F196" s="51"/>
      <c r="G196" s="51"/>
      <c r="H196" s="51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48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</row>
    <row r="197" spans="1:60" ht="14.25">
      <c r="A197" s="85">
        <f t="shared" si="28"/>
        <v>197</v>
      </c>
      <c r="C197" s="51"/>
      <c r="D197" s="51"/>
      <c r="E197" s="51"/>
      <c r="F197" s="51"/>
      <c r="G197" s="51"/>
      <c r="H197" s="51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48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</row>
    <row r="198" spans="1:60" ht="14.25">
      <c r="A198" s="85">
        <f t="shared" si="28"/>
        <v>198</v>
      </c>
      <c r="C198" s="51"/>
      <c r="D198" s="51"/>
      <c r="E198" s="51"/>
      <c r="F198" s="51"/>
      <c r="G198" s="51"/>
      <c r="H198" s="51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4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</row>
    <row r="199" spans="1:60" ht="14.25">
      <c r="A199" s="85">
        <f t="shared" si="28"/>
        <v>199</v>
      </c>
      <c r="C199" s="51"/>
      <c r="D199" s="51"/>
      <c r="E199" s="51"/>
      <c r="F199" s="51"/>
      <c r="G199" s="51"/>
      <c r="H199" s="51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48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</row>
    <row r="200" spans="1:60" ht="14.25">
      <c r="A200" s="85">
        <f t="shared" si="28"/>
        <v>200</v>
      </c>
      <c r="C200" s="51"/>
      <c r="D200" s="51"/>
      <c r="E200" s="51"/>
      <c r="F200" s="51"/>
      <c r="G200" s="51"/>
      <c r="H200" s="51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48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</row>
    <row r="201" spans="1:60" ht="14.25">
      <c r="A201" s="85">
        <f t="shared" si="28"/>
        <v>201</v>
      </c>
      <c r="C201" s="51"/>
      <c r="D201" s="51"/>
      <c r="E201" s="51"/>
      <c r="F201" s="51"/>
      <c r="G201" s="51"/>
      <c r="H201" s="51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48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</row>
    <row r="202" spans="1:60" ht="14.25">
      <c r="C202" s="51"/>
      <c r="D202" s="51"/>
      <c r="E202" s="51"/>
      <c r="F202" s="51"/>
      <c r="G202" s="51"/>
      <c r="H202" s="51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48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</row>
    <row r="203" spans="1:60" ht="14.25">
      <c r="C203" s="51"/>
      <c r="D203" s="51"/>
      <c r="E203" s="51"/>
      <c r="F203" s="51"/>
      <c r="G203" s="51"/>
      <c r="H203" s="51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48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</row>
    <row r="204" spans="1:60" ht="14.25">
      <c r="C204" s="51"/>
      <c r="D204" s="51"/>
      <c r="E204" s="51"/>
      <c r="F204" s="51"/>
      <c r="G204" s="51"/>
      <c r="H204" s="51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48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</row>
    <row r="205" spans="1:60" ht="14.25">
      <c r="C205" s="51"/>
      <c r="D205" s="51"/>
      <c r="E205" s="51"/>
      <c r="F205" s="51"/>
      <c r="G205" s="51"/>
      <c r="H205" s="51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3"/>
      <c r="AN205" s="53"/>
      <c r="AO205" s="53"/>
      <c r="AP205" s="53"/>
    </row>
    <row r="206" spans="1:60" ht="14.25">
      <c r="C206" s="51"/>
      <c r="D206" s="51"/>
      <c r="E206" s="51"/>
      <c r="F206" s="51"/>
      <c r="G206" s="51"/>
      <c r="H206" s="51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3"/>
      <c r="AN206" s="53"/>
      <c r="AO206" s="53"/>
      <c r="AP206" s="53"/>
    </row>
    <row r="207" spans="1:60" ht="14.25">
      <c r="C207" s="51"/>
      <c r="D207" s="51"/>
      <c r="E207" s="51"/>
      <c r="F207" s="51"/>
      <c r="G207" s="51"/>
      <c r="H207" s="51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3"/>
      <c r="AN207" s="53"/>
      <c r="AO207" s="53"/>
      <c r="AP207" s="53"/>
    </row>
    <row r="208" spans="1:60" ht="14.25">
      <c r="C208" s="51"/>
      <c r="D208" s="51"/>
      <c r="E208" s="51"/>
      <c r="F208" s="51"/>
      <c r="G208" s="51"/>
      <c r="H208" s="51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3"/>
      <c r="AN208" s="53"/>
      <c r="AO208" s="53"/>
      <c r="AP208" s="53"/>
    </row>
    <row r="209" spans="3:42" ht="14.25">
      <c r="C209" s="51"/>
      <c r="D209" s="51"/>
      <c r="E209" s="51"/>
      <c r="F209" s="51"/>
      <c r="G209" s="51"/>
      <c r="H209" s="51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3"/>
      <c r="AN209" s="53"/>
      <c r="AO209" s="53"/>
      <c r="AP209" s="53"/>
    </row>
    <row r="210" spans="3:42" ht="14.25">
      <c r="C210" s="51"/>
      <c r="D210" s="51"/>
      <c r="E210" s="51"/>
      <c r="F210" s="51"/>
      <c r="G210" s="51"/>
      <c r="H210" s="51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3"/>
      <c r="AN210" s="53"/>
      <c r="AO210" s="53"/>
      <c r="AP210" s="53"/>
    </row>
    <row r="211" spans="3:42" ht="14.25">
      <c r="C211" s="51"/>
      <c r="D211" s="51"/>
      <c r="E211" s="51"/>
      <c r="F211" s="51"/>
      <c r="G211" s="51"/>
      <c r="H211" s="51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3"/>
      <c r="AN211" s="53"/>
      <c r="AO211" s="53"/>
      <c r="AP211" s="53"/>
    </row>
    <row r="212" spans="3:42" ht="14.25">
      <c r="C212" s="51"/>
      <c r="D212" s="51"/>
      <c r="E212" s="51"/>
      <c r="F212" s="51"/>
      <c r="G212" s="51"/>
      <c r="H212" s="51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3"/>
      <c r="AN212" s="53"/>
      <c r="AO212" s="53"/>
      <c r="AP212" s="53"/>
    </row>
    <row r="213" spans="3:42" ht="14.25">
      <c r="C213" s="51"/>
      <c r="D213" s="51"/>
      <c r="E213" s="51"/>
      <c r="F213" s="51"/>
      <c r="G213" s="51"/>
      <c r="H213" s="51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3"/>
      <c r="AN213" s="53"/>
      <c r="AO213" s="53"/>
      <c r="AP213" s="53"/>
    </row>
    <row r="214" spans="3:42" ht="14.25">
      <c r="C214" s="51"/>
      <c r="D214" s="51"/>
      <c r="E214" s="51"/>
      <c r="F214" s="51"/>
      <c r="G214" s="51"/>
      <c r="H214" s="51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3"/>
      <c r="AN214" s="53"/>
      <c r="AO214" s="53"/>
      <c r="AP214" s="53"/>
    </row>
    <row r="215" spans="3:42" ht="14.25">
      <c r="C215" s="51"/>
      <c r="D215" s="51"/>
      <c r="E215" s="51"/>
      <c r="F215" s="51"/>
      <c r="G215" s="51"/>
      <c r="H215" s="51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3"/>
      <c r="AN215" s="53"/>
      <c r="AO215" s="53"/>
      <c r="AP215" s="53"/>
    </row>
    <row r="216" spans="3:42" ht="14.25">
      <c r="C216" s="51"/>
      <c r="D216" s="51"/>
      <c r="E216" s="51"/>
      <c r="F216" s="51"/>
      <c r="G216" s="51"/>
      <c r="H216" s="51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3"/>
      <c r="AN216" s="53"/>
      <c r="AO216" s="53"/>
      <c r="AP216" s="53"/>
    </row>
    <row r="217" spans="3:42" ht="14.25">
      <c r="C217" s="51"/>
      <c r="D217" s="51"/>
      <c r="E217" s="51"/>
      <c r="F217" s="51"/>
      <c r="G217" s="51"/>
      <c r="H217" s="51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3"/>
      <c r="AN217" s="53"/>
      <c r="AO217" s="53"/>
      <c r="AP217" s="53"/>
    </row>
    <row r="218" spans="3:42" ht="14.25">
      <c r="C218" s="51"/>
      <c r="D218" s="51"/>
      <c r="E218" s="51"/>
      <c r="F218" s="51"/>
      <c r="G218" s="51"/>
      <c r="H218" s="51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3"/>
      <c r="AN218" s="53"/>
      <c r="AO218" s="53"/>
      <c r="AP218" s="53"/>
    </row>
    <row r="219" spans="3:42" ht="14.25">
      <c r="C219" s="51"/>
      <c r="D219" s="51"/>
      <c r="E219" s="51"/>
      <c r="F219" s="51"/>
      <c r="G219" s="51"/>
      <c r="H219" s="51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3"/>
      <c r="AN219" s="53"/>
      <c r="AO219" s="53"/>
      <c r="AP219" s="53"/>
    </row>
    <row r="220" spans="3:42" ht="14.25">
      <c r="C220" s="51"/>
      <c r="D220" s="51"/>
      <c r="E220" s="51"/>
      <c r="F220" s="51"/>
      <c r="G220" s="51"/>
      <c r="H220" s="51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3"/>
      <c r="AN220" s="53"/>
      <c r="AO220" s="53"/>
      <c r="AP220" s="53"/>
    </row>
    <row r="221" spans="3:42" ht="14.25">
      <c r="C221" s="51"/>
      <c r="D221" s="51"/>
      <c r="E221" s="51"/>
      <c r="F221" s="51"/>
      <c r="G221" s="51"/>
      <c r="H221" s="51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3"/>
      <c r="AN221" s="53"/>
      <c r="AO221" s="53"/>
      <c r="AP221" s="53"/>
    </row>
    <row r="222" spans="3:42" ht="14.25">
      <c r="C222" s="51"/>
      <c r="D222" s="51"/>
      <c r="E222" s="51"/>
      <c r="F222" s="51"/>
      <c r="G222" s="51"/>
      <c r="H222" s="51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3"/>
      <c r="AN222" s="53"/>
      <c r="AO222" s="53"/>
      <c r="AP222" s="53"/>
    </row>
    <row r="223" spans="3:42" ht="14.25">
      <c r="C223" s="51"/>
      <c r="D223" s="51"/>
      <c r="E223" s="51"/>
      <c r="F223" s="51"/>
      <c r="G223" s="51"/>
      <c r="H223" s="51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3"/>
      <c r="AN223" s="53"/>
      <c r="AO223" s="53"/>
      <c r="AP223" s="53"/>
    </row>
    <row r="224" spans="3:42" ht="14.25">
      <c r="C224" s="51"/>
      <c r="D224" s="51"/>
      <c r="E224" s="51"/>
      <c r="F224" s="51"/>
      <c r="G224" s="51"/>
      <c r="H224" s="51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3"/>
      <c r="AN224" s="53"/>
      <c r="AO224" s="53"/>
      <c r="AP224" s="53"/>
    </row>
    <row r="225" spans="3:42" ht="14.25">
      <c r="C225" s="51"/>
      <c r="D225" s="51"/>
      <c r="E225" s="51"/>
      <c r="F225" s="51"/>
      <c r="G225" s="51"/>
      <c r="H225" s="51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3"/>
      <c r="AN225" s="53"/>
      <c r="AO225" s="53"/>
      <c r="AP225" s="53"/>
    </row>
    <row r="226" spans="3:42" ht="14.25">
      <c r="C226" s="51"/>
      <c r="D226" s="51"/>
      <c r="E226" s="51"/>
      <c r="F226" s="51"/>
      <c r="G226" s="51"/>
      <c r="H226" s="51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3"/>
      <c r="AN226" s="53"/>
      <c r="AO226" s="53"/>
      <c r="AP226" s="53"/>
    </row>
    <row r="227" spans="3:42" ht="14.25">
      <c r="C227" s="21"/>
      <c r="D227" s="21"/>
      <c r="E227" s="21"/>
      <c r="F227" s="21"/>
      <c r="G227" s="21"/>
      <c r="H227" s="21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</row>
    <row r="228" spans="3:42" ht="14.25">
      <c r="C228" s="21"/>
      <c r="D228" s="21"/>
      <c r="E228" s="21"/>
      <c r="F228" s="21"/>
      <c r="G228" s="21"/>
      <c r="H228" s="21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</row>
    <row r="229" spans="3:42" ht="14.25">
      <c r="C229" s="21"/>
      <c r="D229" s="21"/>
      <c r="E229" s="21"/>
      <c r="F229" s="21"/>
      <c r="G229" s="21"/>
      <c r="H229" s="21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</row>
    <row r="230" spans="3:42" ht="14.25">
      <c r="C230" s="21"/>
      <c r="D230" s="21"/>
      <c r="E230" s="21"/>
      <c r="F230" s="21"/>
      <c r="G230" s="21"/>
      <c r="H230" s="21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</row>
    <row r="231" spans="3:42" ht="14.25">
      <c r="C231" s="21"/>
      <c r="D231" s="21"/>
      <c r="E231" s="21"/>
      <c r="F231" s="21"/>
      <c r="G231" s="21"/>
      <c r="H231" s="21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</row>
    <row r="232" spans="3:42" ht="14.25">
      <c r="C232" s="21"/>
      <c r="D232" s="21"/>
      <c r="E232" s="21"/>
      <c r="F232" s="21"/>
      <c r="G232" s="21"/>
      <c r="H232" s="21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</row>
    <row r="233" spans="3:42" ht="14.25">
      <c r="C233" s="21"/>
      <c r="D233" s="21"/>
      <c r="E233" s="21"/>
      <c r="F233" s="21"/>
      <c r="G233" s="21"/>
      <c r="H233" s="21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</row>
    <row r="234" spans="3:42" ht="14.25">
      <c r="C234" s="21"/>
      <c r="D234" s="21"/>
      <c r="E234" s="21"/>
      <c r="F234" s="21"/>
      <c r="G234" s="21"/>
      <c r="H234" s="21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</row>
    <row r="235" spans="3:42" ht="14.25">
      <c r="C235" s="21"/>
      <c r="D235" s="21"/>
      <c r="E235" s="21"/>
      <c r="F235" s="21"/>
      <c r="G235" s="21"/>
      <c r="H235" s="21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</row>
    <row r="236" spans="3:42" ht="14.25">
      <c r="C236" s="21"/>
      <c r="D236" s="21"/>
      <c r="E236" s="21"/>
      <c r="F236" s="21"/>
      <c r="G236" s="21"/>
      <c r="H236" s="21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</row>
    <row r="237" spans="3:42" ht="14.25">
      <c r="C237" s="21"/>
      <c r="D237" s="21"/>
      <c r="E237" s="21"/>
      <c r="F237" s="21"/>
      <c r="G237" s="21"/>
      <c r="H237" s="21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</row>
    <row r="238" spans="3:42" ht="14.25">
      <c r="C238" s="21"/>
      <c r="D238" s="21"/>
      <c r="E238" s="21"/>
      <c r="F238" s="21"/>
      <c r="G238" s="21"/>
      <c r="H238" s="21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</row>
    <row r="239" spans="3:42" ht="14.25">
      <c r="C239" s="21"/>
      <c r="D239" s="21"/>
      <c r="E239" s="21"/>
      <c r="F239" s="21"/>
      <c r="G239" s="21"/>
      <c r="H239" s="21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</row>
    <row r="240" spans="3:42" ht="14.25">
      <c r="C240" s="21"/>
      <c r="D240" s="21"/>
      <c r="E240" s="21"/>
      <c r="F240" s="21"/>
      <c r="G240" s="21"/>
      <c r="H240" s="21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</row>
    <row r="241" spans="3:38" ht="14.25">
      <c r="C241" s="21"/>
      <c r="D241" s="21"/>
      <c r="E241" s="21"/>
      <c r="F241" s="21"/>
      <c r="G241" s="21"/>
      <c r="H241" s="21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</row>
    <row r="242" spans="3:38" ht="14.25">
      <c r="C242" s="21"/>
      <c r="D242" s="21"/>
      <c r="E242" s="21"/>
      <c r="F242" s="21"/>
      <c r="G242" s="21"/>
      <c r="H242" s="21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</row>
    <row r="243" spans="3:38" ht="14.25">
      <c r="C243" s="21"/>
      <c r="D243" s="21"/>
      <c r="E243" s="21"/>
      <c r="F243" s="21"/>
      <c r="G243" s="21"/>
      <c r="H243" s="21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</row>
    <row r="244" spans="3:38" ht="14.25">
      <c r="C244" s="21"/>
      <c r="D244" s="21"/>
      <c r="E244" s="21"/>
      <c r="F244" s="21"/>
      <c r="G244" s="21"/>
      <c r="H244" s="21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</row>
    <row r="245" spans="3:38" ht="14.25">
      <c r="C245" s="21"/>
      <c r="D245" s="21"/>
      <c r="E245" s="21"/>
      <c r="F245" s="21"/>
      <c r="G245" s="21"/>
      <c r="H245" s="21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</row>
    <row r="246" spans="3:38" ht="14.25">
      <c r="C246" s="21"/>
      <c r="D246" s="21"/>
      <c r="E246" s="21"/>
      <c r="F246" s="21"/>
      <c r="G246" s="21"/>
      <c r="H246" s="21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</row>
    <row r="247" spans="3:38" ht="14.25">
      <c r="C247" s="21"/>
      <c r="D247" s="21"/>
      <c r="E247" s="21"/>
      <c r="F247" s="21"/>
      <c r="G247" s="21"/>
      <c r="H247" s="21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</row>
    <row r="248" spans="3:38" ht="14.25">
      <c r="C248" s="21"/>
      <c r="D248" s="21"/>
      <c r="E248" s="21"/>
      <c r="F248" s="21"/>
      <c r="G248" s="21"/>
      <c r="H248" s="21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</row>
    <row r="249" spans="3:38" ht="14.25">
      <c r="C249" s="21"/>
      <c r="D249" s="21"/>
      <c r="E249" s="21"/>
      <c r="F249" s="21"/>
      <c r="G249" s="21"/>
      <c r="H249" s="21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</row>
    <row r="250" spans="3:38" ht="14.25">
      <c r="C250" s="21"/>
      <c r="D250" s="21"/>
      <c r="E250" s="21"/>
      <c r="F250" s="21"/>
      <c r="G250" s="21"/>
      <c r="H250" s="21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</row>
    <row r="251" spans="3:38" ht="14.25">
      <c r="C251" s="21"/>
      <c r="D251" s="21"/>
      <c r="E251" s="21"/>
      <c r="F251" s="21"/>
      <c r="G251" s="21"/>
      <c r="H251" s="21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</row>
    <row r="252" spans="3:38" ht="14.25">
      <c r="C252" s="21"/>
      <c r="D252" s="21"/>
      <c r="E252" s="21"/>
      <c r="F252" s="21"/>
      <c r="G252" s="21"/>
      <c r="H252" s="21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</row>
    <row r="253" spans="3:38" ht="14.25">
      <c r="C253" s="21"/>
      <c r="D253" s="21"/>
      <c r="E253" s="21"/>
      <c r="F253" s="21"/>
      <c r="G253" s="21"/>
      <c r="H253" s="21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</row>
    <row r="254" spans="3:38" ht="14.25">
      <c r="C254" s="21"/>
      <c r="D254" s="21"/>
      <c r="E254" s="21"/>
      <c r="F254" s="21"/>
      <c r="G254" s="21"/>
      <c r="H254" s="21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</row>
    <row r="255" spans="3:38" ht="14.25">
      <c r="C255" s="21"/>
      <c r="D255" s="21"/>
      <c r="E255" s="21"/>
      <c r="F255" s="21"/>
      <c r="G255" s="21"/>
      <c r="H255" s="21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</row>
    <row r="256" spans="3:38" ht="14.25">
      <c r="C256" s="21"/>
      <c r="D256" s="21"/>
      <c r="E256" s="21"/>
      <c r="F256" s="21"/>
      <c r="G256" s="21"/>
      <c r="H256" s="21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</row>
    <row r="257" spans="3:38" ht="14.25">
      <c r="C257" s="21"/>
      <c r="D257" s="21"/>
      <c r="E257" s="21"/>
      <c r="F257" s="21"/>
      <c r="G257" s="21"/>
      <c r="H257" s="21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</row>
    <row r="258" spans="3:38" ht="14.25">
      <c r="C258" s="21"/>
      <c r="D258" s="21"/>
      <c r="E258" s="21"/>
      <c r="F258" s="21"/>
      <c r="G258" s="21"/>
      <c r="H258" s="21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</row>
    <row r="259" spans="3:38" ht="14.25">
      <c r="C259" s="21"/>
      <c r="D259" s="21"/>
      <c r="E259" s="21"/>
      <c r="F259" s="21"/>
      <c r="G259" s="21"/>
      <c r="H259" s="21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</row>
    <row r="260" spans="3:38" ht="14.25">
      <c r="C260" s="21"/>
      <c r="D260" s="21"/>
      <c r="E260" s="21"/>
      <c r="F260" s="21"/>
      <c r="G260" s="21"/>
      <c r="H260" s="21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</row>
    <row r="261" spans="3:38" ht="14.25">
      <c r="C261" s="21"/>
      <c r="D261" s="21"/>
      <c r="E261" s="21"/>
      <c r="F261" s="21"/>
      <c r="G261" s="21"/>
      <c r="H261" s="21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</row>
    <row r="262" spans="3:38" ht="14.25">
      <c r="C262" s="21"/>
      <c r="D262" s="21"/>
      <c r="E262" s="21"/>
      <c r="F262" s="21"/>
      <c r="G262" s="21"/>
      <c r="H262" s="21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</row>
    <row r="263" spans="3:38" ht="14.25">
      <c r="C263" s="21"/>
      <c r="D263" s="21"/>
      <c r="E263" s="21"/>
      <c r="F263" s="21"/>
      <c r="G263" s="21"/>
      <c r="H263" s="21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</row>
    <row r="264" spans="3:38" ht="14.25">
      <c r="C264" s="21"/>
      <c r="D264" s="21"/>
      <c r="E264" s="21"/>
      <c r="F264" s="21"/>
      <c r="G264" s="21"/>
      <c r="H264" s="21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</row>
    <row r="265" spans="3:38" ht="14.25">
      <c r="C265" s="21"/>
      <c r="D265" s="21"/>
      <c r="E265" s="21"/>
      <c r="F265" s="21"/>
      <c r="G265" s="21"/>
      <c r="H265" s="21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</row>
    <row r="266" spans="3:38" ht="14.25">
      <c r="C266" s="21"/>
      <c r="D266" s="21"/>
      <c r="E266" s="21"/>
      <c r="F266" s="21"/>
      <c r="G266" s="21"/>
      <c r="H266" s="21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</row>
    <row r="267" spans="3:38" ht="14.25">
      <c r="C267" s="21"/>
      <c r="D267" s="21"/>
      <c r="E267" s="21"/>
      <c r="F267" s="21"/>
      <c r="G267" s="21"/>
      <c r="H267" s="21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</row>
    <row r="268" spans="3:38" ht="14.25">
      <c r="C268" s="21"/>
      <c r="D268" s="21"/>
      <c r="E268" s="21"/>
      <c r="F268" s="21"/>
      <c r="G268" s="21"/>
      <c r="H268" s="21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</row>
    <row r="269" spans="3:38" ht="14.25">
      <c r="C269" s="21"/>
      <c r="D269" s="21"/>
      <c r="E269" s="21"/>
      <c r="F269" s="21"/>
      <c r="G269" s="21"/>
      <c r="H269" s="21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</row>
    <row r="270" spans="3:38" ht="14.25">
      <c r="C270" s="21"/>
      <c r="D270" s="21"/>
      <c r="E270" s="21"/>
      <c r="F270" s="21"/>
      <c r="G270" s="21"/>
      <c r="H270" s="21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</row>
    <row r="271" spans="3:38" ht="14.25">
      <c r="C271" s="21"/>
      <c r="D271" s="21"/>
      <c r="E271" s="21"/>
      <c r="F271" s="21"/>
      <c r="G271" s="21"/>
      <c r="H271" s="21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</row>
    <row r="272" spans="3:38" ht="14.25">
      <c r="C272" s="21"/>
      <c r="D272" s="21"/>
      <c r="E272" s="21"/>
      <c r="F272" s="21"/>
      <c r="G272" s="21"/>
      <c r="H272" s="21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</row>
    <row r="273" spans="3:38" ht="14.25">
      <c r="C273" s="21"/>
      <c r="D273" s="21"/>
      <c r="E273" s="21"/>
      <c r="F273" s="21"/>
      <c r="G273" s="21"/>
      <c r="H273" s="21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</row>
    <row r="274" spans="3:38" ht="14.25">
      <c r="C274" s="21"/>
      <c r="D274" s="21"/>
      <c r="E274" s="21"/>
      <c r="F274" s="21"/>
      <c r="G274" s="21"/>
      <c r="H274" s="21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</row>
    <row r="275" spans="3:38" ht="14.25">
      <c r="C275" s="21"/>
      <c r="D275" s="21"/>
      <c r="E275" s="21"/>
      <c r="F275" s="21"/>
      <c r="G275" s="21"/>
      <c r="H275" s="21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</row>
    <row r="276" spans="3:38" ht="14.25">
      <c r="C276" s="21"/>
      <c r="D276" s="21"/>
      <c r="E276" s="21"/>
      <c r="F276" s="21"/>
      <c r="G276" s="21"/>
      <c r="H276" s="21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</row>
    <row r="277" spans="3:38" ht="14.25">
      <c r="C277" s="21"/>
      <c r="D277" s="21"/>
      <c r="E277" s="21"/>
      <c r="F277" s="21"/>
      <c r="G277" s="21"/>
      <c r="H277" s="21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</row>
    <row r="278" spans="3:38" ht="14.25">
      <c r="C278" s="21"/>
      <c r="D278" s="21"/>
      <c r="E278" s="21"/>
      <c r="F278" s="21"/>
      <c r="G278" s="21"/>
      <c r="H278" s="21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</row>
    <row r="279" spans="3:38" ht="14.25">
      <c r="C279" s="21"/>
      <c r="D279" s="21"/>
      <c r="E279" s="21"/>
      <c r="F279" s="21"/>
      <c r="G279" s="21"/>
      <c r="H279" s="21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</row>
    <row r="280" spans="3:38" ht="14.25">
      <c r="C280" s="21"/>
      <c r="D280" s="21"/>
      <c r="E280" s="21"/>
      <c r="F280" s="21"/>
      <c r="G280" s="21"/>
      <c r="H280" s="21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</row>
    <row r="281" spans="3:38" ht="14.25">
      <c r="C281" s="21"/>
      <c r="D281" s="21"/>
      <c r="E281" s="21"/>
      <c r="F281" s="21"/>
      <c r="G281" s="21"/>
      <c r="H281" s="21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</row>
    <row r="282" spans="3:38" ht="14.25">
      <c r="C282" s="21"/>
      <c r="D282" s="21"/>
      <c r="E282" s="21"/>
      <c r="F282" s="21"/>
      <c r="G282" s="21"/>
      <c r="H282" s="21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</row>
    <row r="283" spans="3:38" ht="14.25">
      <c r="C283" s="21"/>
      <c r="D283" s="21"/>
      <c r="E283" s="21"/>
      <c r="F283" s="21"/>
      <c r="G283" s="21"/>
      <c r="H283" s="21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</row>
    <row r="284" spans="3:38" ht="14.25">
      <c r="C284" s="21"/>
      <c r="D284" s="21"/>
      <c r="E284" s="21"/>
      <c r="F284" s="21"/>
      <c r="G284" s="21"/>
      <c r="H284" s="21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</row>
    <row r="285" spans="3:38" ht="14.25">
      <c r="C285" s="21"/>
      <c r="D285" s="21"/>
      <c r="E285" s="21"/>
      <c r="F285" s="21"/>
      <c r="G285" s="21"/>
      <c r="H285" s="21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</row>
    <row r="286" spans="3:38" ht="14.25">
      <c r="C286" s="21"/>
      <c r="D286" s="21"/>
      <c r="E286" s="21"/>
      <c r="F286" s="21"/>
      <c r="G286" s="21"/>
      <c r="H286" s="21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</row>
    <row r="287" spans="3:38" ht="14.25">
      <c r="C287" s="21"/>
      <c r="D287" s="21"/>
      <c r="E287" s="21"/>
      <c r="F287" s="21"/>
      <c r="G287" s="21"/>
      <c r="H287" s="21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</row>
    <row r="288" spans="3:38" ht="14.25">
      <c r="C288" s="21"/>
      <c r="D288" s="21"/>
      <c r="E288" s="21"/>
      <c r="F288" s="21"/>
      <c r="G288" s="21"/>
      <c r="H288" s="21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</row>
    <row r="289" spans="3:38" ht="14.25">
      <c r="C289" s="21"/>
      <c r="D289" s="21"/>
      <c r="E289" s="21"/>
      <c r="F289" s="21"/>
      <c r="G289" s="21"/>
      <c r="H289" s="21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</row>
    <row r="290" spans="3:38" ht="14.25">
      <c r="C290" s="21"/>
      <c r="D290" s="21"/>
      <c r="E290" s="21"/>
      <c r="F290" s="21"/>
      <c r="G290" s="21"/>
      <c r="H290" s="21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</row>
    <row r="291" spans="3:38" ht="14.25">
      <c r="C291" s="21"/>
      <c r="D291" s="21"/>
      <c r="E291" s="21"/>
      <c r="F291" s="21"/>
      <c r="G291" s="21"/>
      <c r="H291" s="21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</row>
    <row r="292" spans="3:38" ht="14.25">
      <c r="C292" s="21"/>
      <c r="D292" s="21"/>
      <c r="E292" s="21"/>
      <c r="F292" s="21"/>
      <c r="G292" s="21"/>
      <c r="H292" s="21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</row>
    <row r="293" spans="3:38" ht="14.25">
      <c r="C293" s="21"/>
      <c r="D293" s="21"/>
      <c r="E293" s="21"/>
      <c r="F293" s="21"/>
      <c r="G293" s="21"/>
      <c r="H293" s="21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</row>
    <row r="294" spans="3:38" ht="14.25">
      <c r="C294" s="21"/>
      <c r="D294" s="21"/>
      <c r="E294" s="21"/>
      <c r="F294" s="21"/>
      <c r="G294" s="21"/>
      <c r="H294" s="21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</row>
    <row r="295" spans="3:38" ht="14.25">
      <c r="C295" s="21"/>
      <c r="D295" s="21"/>
      <c r="E295" s="21"/>
      <c r="F295" s="21"/>
      <c r="G295" s="21"/>
      <c r="H295" s="21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</row>
    <row r="296" spans="3:38" ht="14.25">
      <c r="C296" s="21"/>
      <c r="D296" s="21"/>
      <c r="E296" s="21"/>
      <c r="F296" s="21"/>
      <c r="G296" s="21"/>
      <c r="H296" s="21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</row>
    <row r="297" spans="3:38" ht="14.25">
      <c r="C297" s="21"/>
      <c r="D297" s="21"/>
      <c r="E297" s="21"/>
      <c r="F297" s="21"/>
      <c r="G297" s="21"/>
      <c r="H297" s="21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</row>
    <row r="298" spans="3:38" ht="14.25">
      <c r="C298" s="21"/>
      <c r="D298" s="21"/>
      <c r="E298" s="21"/>
      <c r="F298" s="21"/>
      <c r="G298" s="21"/>
      <c r="H298" s="21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</row>
    <row r="299" spans="3:38" ht="14.25">
      <c r="C299" s="21"/>
      <c r="D299" s="21"/>
      <c r="E299" s="21"/>
      <c r="F299" s="21"/>
      <c r="G299" s="21"/>
      <c r="H299" s="21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</row>
    <row r="300" spans="3:38" ht="14.25">
      <c r="C300" s="21"/>
      <c r="D300" s="21"/>
      <c r="E300" s="21"/>
      <c r="F300" s="21"/>
      <c r="G300" s="21"/>
      <c r="H300" s="21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</row>
    <row r="301" spans="3:38" ht="14.25">
      <c r="C301" s="21"/>
      <c r="D301" s="21"/>
      <c r="E301" s="21"/>
      <c r="F301" s="21"/>
      <c r="G301" s="21"/>
      <c r="H301" s="21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</row>
    <row r="302" spans="3:38" ht="14.25">
      <c r="C302" s="21"/>
      <c r="D302" s="21"/>
      <c r="E302" s="21"/>
      <c r="F302" s="21"/>
      <c r="G302" s="21"/>
      <c r="H302" s="21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</row>
    <row r="303" spans="3:38" ht="14.25">
      <c r="C303" s="21"/>
      <c r="D303" s="21"/>
      <c r="E303" s="21"/>
      <c r="F303" s="21"/>
      <c r="G303" s="21"/>
      <c r="H303" s="21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</row>
    <row r="304" spans="3:38" ht="14.25">
      <c r="C304" s="21"/>
      <c r="D304" s="21"/>
      <c r="E304" s="21"/>
      <c r="F304" s="21"/>
      <c r="G304" s="21"/>
      <c r="H304" s="21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</row>
    <row r="305" spans="3:38" ht="14.25">
      <c r="C305" s="21"/>
      <c r="D305" s="21"/>
      <c r="E305" s="21"/>
      <c r="F305" s="21"/>
      <c r="G305" s="21"/>
      <c r="H305" s="21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</row>
    <row r="306" spans="3:38" ht="14.25">
      <c r="C306" s="21"/>
      <c r="D306" s="21"/>
      <c r="E306" s="21"/>
      <c r="F306" s="21"/>
      <c r="G306" s="21"/>
      <c r="H306" s="21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</row>
    <row r="307" spans="3:38" ht="14.25">
      <c r="C307" s="21"/>
      <c r="D307" s="21"/>
      <c r="E307" s="21"/>
      <c r="F307" s="21"/>
      <c r="G307" s="21"/>
      <c r="H307" s="21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</row>
    <row r="308" spans="3:38" ht="14.25">
      <c r="C308" s="21"/>
      <c r="D308" s="21"/>
      <c r="E308" s="21"/>
      <c r="F308" s="21"/>
      <c r="G308" s="21"/>
      <c r="H308" s="21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</row>
    <row r="309" spans="3:38" ht="14.25">
      <c r="C309" s="21"/>
      <c r="D309" s="21"/>
      <c r="E309" s="21"/>
      <c r="F309" s="21"/>
      <c r="G309" s="21"/>
      <c r="H309" s="21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</row>
    <row r="310" spans="3:38" ht="14.25">
      <c r="C310" s="21"/>
      <c r="D310" s="21"/>
      <c r="E310" s="21"/>
      <c r="F310" s="21"/>
      <c r="G310" s="21"/>
      <c r="H310" s="21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</row>
    <row r="311" spans="3:38" ht="14.25">
      <c r="C311" s="21"/>
      <c r="D311" s="21"/>
      <c r="E311" s="21"/>
      <c r="F311" s="21"/>
      <c r="G311" s="21"/>
      <c r="H311" s="21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</row>
    <row r="312" spans="3:38" ht="14.25">
      <c r="C312" s="21"/>
      <c r="D312" s="21"/>
      <c r="E312" s="21"/>
      <c r="F312" s="21"/>
      <c r="G312" s="21"/>
      <c r="H312" s="21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</row>
    <row r="313" spans="3:38" ht="14.25">
      <c r="C313" s="21"/>
      <c r="D313" s="21"/>
      <c r="E313" s="21"/>
      <c r="F313" s="21"/>
      <c r="G313" s="21"/>
      <c r="H313" s="21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</row>
    <row r="314" spans="3:38" ht="14.25">
      <c r="C314" s="21"/>
      <c r="D314" s="21"/>
      <c r="E314" s="21"/>
      <c r="F314" s="21"/>
      <c r="G314" s="21"/>
      <c r="H314" s="21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</row>
    <row r="315" spans="3:38" ht="14.25">
      <c r="C315" s="21"/>
      <c r="D315" s="21"/>
      <c r="E315" s="21"/>
      <c r="F315" s="21"/>
      <c r="G315" s="21"/>
      <c r="H315" s="21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</row>
    <row r="316" spans="3:38" ht="14.25">
      <c r="C316" s="21"/>
      <c r="D316" s="21"/>
      <c r="E316" s="21"/>
      <c r="F316" s="21"/>
      <c r="G316" s="21"/>
      <c r="H316" s="21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</row>
    <row r="317" spans="3:38" ht="14.25">
      <c r="C317" s="21"/>
      <c r="D317" s="21"/>
      <c r="E317" s="21"/>
      <c r="F317" s="21"/>
      <c r="G317" s="21"/>
      <c r="H317" s="21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</row>
    <row r="318" spans="3:38" ht="14.25">
      <c r="C318" s="21"/>
      <c r="D318" s="21"/>
      <c r="E318" s="21"/>
      <c r="F318" s="21"/>
      <c r="G318" s="21"/>
      <c r="H318" s="21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</row>
    <row r="319" spans="3:38" ht="14.25">
      <c r="C319" s="21"/>
      <c r="D319" s="21"/>
      <c r="E319" s="21"/>
      <c r="F319" s="21"/>
      <c r="G319" s="21"/>
      <c r="H319" s="21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</row>
    <row r="320" spans="3:38" ht="14.25">
      <c r="C320" s="21"/>
      <c r="D320" s="21"/>
      <c r="E320" s="21"/>
      <c r="F320" s="21"/>
      <c r="G320" s="21"/>
      <c r="H320" s="21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</row>
    <row r="321" spans="3:38" ht="14.25">
      <c r="C321" s="21"/>
      <c r="D321" s="21"/>
      <c r="E321" s="21"/>
      <c r="F321" s="21"/>
      <c r="G321" s="21"/>
      <c r="H321" s="21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</row>
    <row r="322" spans="3:38" ht="14.25">
      <c r="C322" s="21"/>
      <c r="D322" s="21"/>
      <c r="E322" s="21"/>
      <c r="F322" s="21"/>
      <c r="G322" s="21"/>
      <c r="H322" s="21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</row>
    <row r="323" spans="3:38" ht="14.25">
      <c r="C323" s="21"/>
      <c r="D323" s="21"/>
      <c r="E323" s="21"/>
      <c r="F323" s="21"/>
      <c r="G323" s="21"/>
      <c r="H323" s="21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</row>
    <row r="324" spans="3:38" ht="14.25">
      <c r="C324" s="21"/>
      <c r="D324" s="21"/>
      <c r="E324" s="21"/>
      <c r="F324" s="21"/>
      <c r="G324" s="21"/>
      <c r="H324" s="21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</row>
    <row r="325" spans="3:38" ht="14.25">
      <c r="C325" s="21"/>
      <c r="D325" s="21"/>
      <c r="E325" s="21"/>
      <c r="F325" s="21"/>
      <c r="G325" s="21"/>
      <c r="H325" s="21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</row>
    <row r="326" spans="3:38" ht="14.25">
      <c r="C326" s="21"/>
      <c r="D326" s="21"/>
      <c r="E326" s="21"/>
      <c r="F326" s="21"/>
      <c r="G326" s="21"/>
      <c r="H326" s="21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</row>
    <row r="327" spans="3:38" ht="14.25">
      <c r="C327" s="21"/>
      <c r="D327" s="21"/>
      <c r="E327" s="21"/>
      <c r="F327" s="21"/>
      <c r="G327" s="21"/>
      <c r="H327" s="21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</row>
    <row r="328" spans="3:38" ht="14.25">
      <c r="C328" s="21"/>
      <c r="D328" s="21"/>
      <c r="E328" s="21"/>
      <c r="F328" s="21"/>
      <c r="G328" s="21"/>
      <c r="H328" s="21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</row>
    <row r="329" spans="3:38" ht="14.25">
      <c r="C329" s="21"/>
      <c r="D329" s="21"/>
      <c r="E329" s="21"/>
      <c r="F329" s="21"/>
      <c r="G329" s="21"/>
      <c r="H329" s="21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</row>
    <row r="330" spans="3:38" ht="14.25">
      <c r="C330" s="21"/>
      <c r="D330" s="21"/>
      <c r="E330" s="21"/>
      <c r="F330" s="21"/>
      <c r="G330" s="21"/>
      <c r="H330" s="21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</row>
    <row r="331" spans="3:38" ht="14.25">
      <c r="C331" s="21"/>
      <c r="D331" s="21"/>
      <c r="E331" s="21"/>
      <c r="F331" s="21"/>
      <c r="G331" s="21"/>
      <c r="H331" s="21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</row>
    <row r="332" spans="3:38" ht="14.25">
      <c r="C332" s="21"/>
      <c r="D332" s="21"/>
      <c r="E332" s="21"/>
      <c r="F332" s="21"/>
      <c r="G332" s="21"/>
      <c r="H332" s="21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</row>
    <row r="333" spans="3:38" ht="14.25">
      <c r="C333" s="21"/>
      <c r="D333" s="21"/>
      <c r="E333" s="21"/>
      <c r="F333" s="21"/>
      <c r="G333" s="21"/>
      <c r="H333" s="21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</row>
    <row r="334" spans="3:38" ht="14.25">
      <c r="C334" s="21"/>
      <c r="D334" s="21"/>
      <c r="E334" s="21"/>
      <c r="F334" s="21"/>
      <c r="G334" s="21"/>
      <c r="H334" s="21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</row>
    <row r="335" spans="3:38" ht="14.25">
      <c r="C335" s="21"/>
      <c r="D335" s="21"/>
      <c r="E335" s="21"/>
      <c r="F335" s="21"/>
      <c r="G335" s="21"/>
      <c r="H335" s="21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</row>
    <row r="336" spans="3:38" ht="14.25">
      <c r="C336" s="21"/>
      <c r="D336" s="21"/>
      <c r="E336" s="21"/>
      <c r="F336" s="21"/>
      <c r="G336" s="21"/>
      <c r="H336" s="21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</row>
    <row r="337" spans="3:38" ht="14.25">
      <c r="C337" s="21"/>
      <c r="D337" s="21"/>
      <c r="E337" s="21"/>
      <c r="F337" s="21"/>
      <c r="G337" s="21"/>
      <c r="H337" s="21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</row>
    <row r="338" spans="3:38" ht="14.25">
      <c r="C338" s="21"/>
      <c r="D338" s="21"/>
      <c r="E338" s="21"/>
      <c r="F338" s="21"/>
      <c r="G338" s="21"/>
      <c r="H338" s="21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</row>
    <row r="339" spans="3:38" ht="14.25">
      <c r="C339" s="21"/>
      <c r="D339" s="21"/>
      <c r="E339" s="21"/>
      <c r="F339" s="21"/>
      <c r="G339" s="21"/>
      <c r="H339" s="21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</row>
    <row r="340" spans="3:38" ht="14.25">
      <c r="C340" s="21"/>
      <c r="D340" s="21"/>
      <c r="E340" s="21"/>
      <c r="F340" s="21"/>
      <c r="G340" s="21"/>
      <c r="H340" s="21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</row>
    <row r="341" spans="3:38" ht="14.25">
      <c r="C341" s="21"/>
      <c r="D341" s="21"/>
      <c r="E341" s="21"/>
      <c r="F341" s="21"/>
      <c r="G341" s="21"/>
      <c r="H341" s="21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</row>
    <row r="342" spans="3:38" ht="14.25">
      <c r="C342" s="21"/>
      <c r="D342" s="21"/>
      <c r="E342" s="21"/>
      <c r="F342" s="21"/>
      <c r="G342" s="21"/>
      <c r="H342" s="21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</row>
    <row r="343" spans="3:38" ht="14.25">
      <c r="C343" s="21"/>
      <c r="D343" s="21"/>
      <c r="E343" s="21"/>
      <c r="F343" s="21"/>
      <c r="G343" s="21"/>
      <c r="H343" s="21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</row>
  </sheetData>
  <pageMargins left="0.75" right="0.75" top="1" bottom="1" header="0.1" footer="0.5"/>
  <pageSetup orientation="portrait" r:id="rId1"/>
  <headerFooter alignWithMargins="0">
    <oddHeader>&amp;L&amp;"Arial,Bold"&amp;10 3:26 PM
&amp;"Arial,Bold"&amp;10 07/11/16
&amp;"Arial,Bold"&amp;10 Accrual Basis&amp;C&amp;"Arial,Bold"&amp;10 Democracy Now! Productions, Inc.
&amp;"Arial,Bold"&amp;14 Profit &amp;&amp; Loss by Class
&amp;"Arial,Bold"&amp;10 January 2012 through August 2016</oddHeader>
    <oddFooter>&amp;R&amp;"Arial,Bold"&amp;10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1:M28"/>
  <sheetViews>
    <sheetView topLeftCell="A7" workbookViewId="0">
      <selection activeCell="K47" sqref="K47"/>
    </sheetView>
  </sheetViews>
  <sheetFormatPr defaultRowHeight="14.25"/>
  <cols>
    <col min="1" max="1" width="29.73046875" customWidth="1"/>
    <col min="2" max="3" width="10" bestFit="1" customWidth="1"/>
    <col min="4" max="4" width="11.3984375" customWidth="1"/>
    <col min="5" max="5" width="11.73046875" customWidth="1"/>
    <col min="6" max="6" width="10" bestFit="1" customWidth="1"/>
    <col min="7" max="7" width="12.3984375" customWidth="1"/>
    <col min="8" max="8" width="12" customWidth="1"/>
    <col min="9" max="12" width="9.1328125" bestFit="1" customWidth="1"/>
    <col min="13" max="13" width="10.86328125" bestFit="1" customWidth="1"/>
  </cols>
  <sheetData>
    <row r="1" spans="1:13">
      <c r="A1" s="11" t="str">
        <f>Cover!B1</f>
        <v>Malecare, Inc</v>
      </c>
    </row>
    <row r="2" spans="1:13">
      <c r="A2" s="12"/>
    </row>
    <row r="3" spans="1:13">
      <c r="A3" s="12"/>
    </row>
    <row r="5" spans="1:13">
      <c r="A5" s="15" t="s">
        <v>148</v>
      </c>
    </row>
    <row r="6" spans="1:13" ht="28.5">
      <c r="B6" s="34" t="s">
        <v>187</v>
      </c>
      <c r="C6" s="34" t="s">
        <v>188</v>
      </c>
      <c r="D6" s="34" t="s">
        <v>227</v>
      </c>
      <c r="E6" s="34" t="s">
        <v>254</v>
      </c>
      <c r="F6" s="34" t="s">
        <v>262</v>
      </c>
      <c r="G6" s="34" t="s">
        <v>149</v>
      </c>
      <c r="H6" s="13" t="s">
        <v>258</v>
      </c>
    </row>
    <row r="7" spans="1:13">
      <c r="A7" t="s">
        <v>145</v>
      </c>
      <c r="B7" s="1">
        <v>20823.7</v>
      </c>
      <c r="C7" s="1">
        <v>10598</v>
      </c>
      <c r="D7" s="1">
        <v>17342.61</v>
      </c>
      <c r="E7" s="1">
        <v>13295</v>
      </c>
      <c r="F7" s="116">
        <f>SOA!M9</f>
        <v>53615.63</v>
      </c>
      <c r="G7" s="1" t="e">
        <f>+#REF!</f>
        <v>#REF!</v>
      </c>
      <c r="H7" s="14" t="e">
        <f>IF(G7=0,"Not Budgeted",F7/G7)</f>
        <v>#REF!</v>
      </c>
    </row>
    <row r="8" spans="1:13">
      <c r="A8" t="s">
        <v>146</v>
      </c>
      <c r="B8" s="1">
        <v>317416.67</v>
      </c>
      <c r="C8" s="1">
        <v>3267.33</v>
      </c>
      <c r="D8" s="1">
        <v>71772</v>
      </c>
      <c r="E8" s="1">
        <v>28111</v>
      </c>
      <c r="F8" s="116">
        <f>SOA!M10</f>
        <v>132845.53</v>
      </c>
      <c r="G8" s="1" t="e">
        <f>+#REF!</f>
        <v>#REF!</v>
      </c>
      <c r="H8" s="14" t="e">
        <f>IF(G8=0,"Not Budgeted",F8/G8)</f>
        <v>#REF!</v>
      </c>
    </row>
    <row r="9" spans="1:13">
      <c r="A9" t="s">
        <v>147</v>
      </c>
      <c r="B9" s="1">
        <v>0</v>
      </c>
      <c r="C9" s="1">
        <v>0</v>
      </c>
      <c r="D9" s="1">
        <v>4000</v>
      </c>
      <c r="E9" s="1">
        <v>500</v>
      </c>
      <c r="F9" s="116">
        <f>SOA!M11</f>
        <v>4250</v>
      </c>
      <c r="G9" s="1" t="e">
        <f>#REF!</f>
        <v>#REF!</v>
      </c>
      <c r="H9" s="14" t="e">
        <f>IF(G9=0,"Not Budgeted",F9/G9)</f>
        <v>#REF!</v>
      </c>
    </row>
    <row r="10" spans="1:13">
      <c r="A10" t="s">
        <v>54</v>
      </c>
      <c r="B10" s="1">
        <v>571.04999999999995</v>
      </c>
      <c r="C10" s="1">
        <v>131.94</v>
      </c>
      <c r="D10" s="1">
        <v>0</v>
      </c>
      <c r="E10" s="1">
        <v>0</v>
      </c>
      <c r="F10" s="116">
        <f>SOA!M19</f>
        <v>18053</v>
      </c>
      <c r="G10" s="1">
        <v>0</v>
      </c>
      <c r="H10" s="14" t="str">
        <f>IF(G10=0,"Not Budgeted",F10/G10)</f>
        <v>Not Budgeted</v>
      </c>
    </row>
    <row r="11" spans="1:13">
      <c r="B11" s="1"/>
      <c r="C11" s="1"/>
      <c r="D11" s="1"/>
      <c r="E11" s="1"/>
      <c r="F11" s="1"/>
      <c r="G11" s="1"/>
      <c r="H11" s="14"/>
      <c r="I11" s="14"/>
    </row>
    <row r="12" spans="1:13">
      <c r="A12" t="s">
        <v>47</v>
      </c>
      <c r="B12" s="2">
        <f t="shared" ref="B12:G12" si="0">SUM(B7:B11)</f>
        <v>338811.42</v>
      </c>
      <c r="C12" s="2">
        <f t="shared" si="0"/>
        <v>13997.27</v>
      </c>
      <c r="D12" s="2">
        <f t="shared" si="0"/>
        <v>93114.61</v>
      </c>
      <c r="E12" s="2">
        <f t="shared" si="0"/>
        <v>41906</v>
      </c>
      <c r="F12" s="2">
        <f t="shared" si="0"/>
        <v>208764.16</v>
      </c>
      <c r="G12" s="2" t="e">
        <f t="shared" si="0"/>
        <v>#REF!</v>
      </c>
      <c r="H12" s="5" t="e">
        <f>SUM(H7:H11)</f>
        <v>#REF!</v>
      </c>
    </row>
    <row r="13" spans="1:13">
      <c r="B13" s="1"/>
    </row>
    <row r="15" spans="1:13">
      <c r="A15" s="15" t="s">
        <v>150</v>
      </c>
    </row>
    <row r="16" spans="1:13">
      <c r="B16" s="34" t="s">
        <v>189</v>
      </c>
      <c r="C16" s="34" t="s">
        <v>190</v>
      </c>
      <c r="D16" s="34" t="s">
        <v>191</v>
      </c>
      <c r="E16" s="34" t="s">
        <v>192</v>
      </c>
      <c r="F16" s="34" t="s">
        <v>261</v>
      </c>
      <c r="G16" s="34" t="s">
        <v>262</v>
      </c>
      <c r="H16" s="34"/>
      <c r="I16" s="34"/>
      <c r="J16" s="34"/>
      <c r="K16" s="34"/>
      <c r="L16" s="34"/>
      <c r="M16" s="34"/>
    </row>
    <row r="17" spans="1:13">
      <c r="A17" t="s">
        <v>152</v>
      </c>
      <c r="B17" s="1">
        <v>173853.06</v>
      </c>
      <c r="C17" s="1">
        <v>217151.15</v>
      </c>
      <c r="D17" s="1">
        <v>428352.73</v>
      </c>
      <c r="E17" s="1">
        <v>194780.73</v>
      </c>
      <c r="F17" s="1">
        <v>12321.73</v>
      </c>
      <c r="G17" s="116">
        <f>SOFP!F8</f>
        <v>71474.84</v>
      </c>
      <c r="H17" s="1"/>
      <c r="I17" s="1"/>
      <c r="J17" s="1"/>
      <c r="K17" s="1"/>
      <c r="L17" s="1"/>
      <c r="M17" s="1"/>
    </row>
    <row r="19" spans="1:13">
      <c r="A19" s="15" t="s">
        <v>225</v>
      </c>
      <c r="B19" s="34" t="s">
        <v>284</v>
      </c>
    </row>
    <row r="20" spans="1:13">
      <c r="A20" t="s">
        <v>58</v>
      </c>
      <c r="B20" s="145">
        <f>SOFE.current!D24/SOFE.current!G24</f>
        <v>0.87408756731870829</v>
      </c>
    </row>
    <row r="21" spans="1:13">
      <c r="A21" t="s">
        <v>59</v>
      </c>
      <c r="B21" s="145">
        <f>SOFE.current!E24/SOFE.current!G24</f>
        <v>1.6317673866460845E-2</v>
      </c>
    </row>
    <row r="22" spans="1:13">
      <c r="A22" t="s">
        <v>226</v>
      </c>
      <c r="B22" s="145">
        <f>SOFE.current!F24/SOFE.current!G24</f>
        <v>0.1095947588148307</v>
      </c>
    </row>
    <row r="23" spans="1:13">
      <c r="B23" s="119"/>
    </row>
    <row r="26" spans="1:13">
      <c r="A26" s="15" t="s">
        <v>242</v>
      </c>
      <c r="B26" t="s">
        <v>243</v>
      </c>
      <c r="C26" t="s">
        <v>244</v>
      </c>
      <c r="D26" t="s">
        <v>245</v>
      </c>
      <c r="E26" t="s">
        <v>246</v>
      </c>
      <c r="F26" t="s">
        <v>151</v>
      </c>
      <c r="G26" t="s">
        <v>247</v>
      </c>
      <c r="H26" t="s">
        <v>248</v>
      </c>
      <c r="I26" t="s">
        <v>249</v>
      </c>
      <c r="J26" t="s">
        <v>250</v>
      </c>
      <c r="K26" t="s">
        <v>251</v>
      </c>
      <c r="L26" t="s">
        <v>252</v>
      </c>
      <c r="M26" t="s">
        <v>253</v>
      </c>
    </row>
    <row r="27" spans="1:13">
      <c r="A27">
        <v>2016</v>
      </c>
      <c r="B27" s="35">
        <v>7628</v>
      </c>
      <c r="C27" s="35">
        <v>8481.01</v>
      </c>
      <c r="D27" s="35">
        <v>3656.5299999999997</v>
      </c>
      <c r="E27" s="35">
        <v>4030.06</v>
      </c>
      <c r="F27" s="35">
        <v>4855.84</v>
      </c>
      <c r="G27" s="35">
        <v>4045.79</v>
      </c>
      <c r="H27" s="35">
        <v>7159.4299999999994</v>
      </c>
      <c r="I27" s="35">
        <v>4901.66</v>
      </c>
      <c r="J27" s="35">
        <v>2829.54</v>
      </c>
      <c r="K27" s="35">
        <v>7518.39</v>
      </c>
      <c r="L27" s="35">
        <v>5651.2499999999991</v>
      </c>
      <c r="M27" s="35">
        <v>332826.70000000007</v>
      </c>
    </row>
    <row r="28" spans="1:13">
      <c r="A28">
        <v>2017</v>
      </c>
      <c r="B28" s="35">
        <v>18530.060000000001</v>
      </c>
      <c r="C28" s="35">
        <v>12382.240000000002</v>
      </c>
      <c r="D28" s="35">
        <v>16826.87</v>
      </c>
      <c r="E28" s="132">
        <v>17275.100000000002</v>
      </c>
      <c r="F28" s="132">
        <v>19233.41</v>
      </c>
      <c r="G28" s="132">
        <v>19619.95</v>
      </c>
      <c r="H28" s="132">
        <v>17933.420000000002</v>
      </c>
      <c r="I28" s="144">
        <v>17833.990000000002</v>
      </c>
      <c r="J28" s="144">
        <v>16943.280000000002</v>
      </c>
      <c r="K28" s="144">
        <v>18528.760000000002</v>
      </c>
      <c r="L28" s="144">
        <v>17607.420000000002</v>
      </c>
      <c r="M28" s="144">
        <v>23998</v>
      </c>
    </row>
  </sheetData>
  <phoneticPr fontId="10" type="noConversion"/>
  <printOptions horizontalCentered="1"/>
  <pageMargins left="0.5" right="0.5" top="0.5" bottom="0.5" header="0.25" footer="0.25"/>
  <pageSetup scale="86" orientation="landscape" r:id="rId1"/>
  <headerFooter>
    <oddFooter>&amp;CData for Sample Charts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M69"/>
  <sheetViews>
    <sheetView tabSelected="1" topLeftCell="B1" zoomScaleNormal="100" workbookViewId="0">
      <selection activeCell="E21" sqref="E21"/>
    </sheetView>
  </sheetViews>
  <sheetFormatPr defaultRowHeight="14.25" outlineLevelRow="1" outlineLevelCol="1"/>
  <cols>
    <col min="1" max="1" width="36.265625" style="93" hidden="1" customWidth="1" outlineLevel="1"/>
    <col min="2" max="2" width="2.3984375" customWidth="1" collapsed="1"/>
    <col min="3" max="3" width="3.73046875" customWidth="1"/>
    <col min="4" max="4" width="5" customWidth="1"/>
    <col min="5" max="5" width="49.1328125" customWidth="1"/>
    <col min="6" max="6" width="12.73046875" style="35" customWidth="1"/>
    <col min="7" max="7" width="2.73046875" style="35" customWidth="1"/>
    <col min="8" max="8" width="12.73046875" style="35" customWidth="1"/>
    <col min="9" max="9" width="1" customWidth="1"/>
    <col min="10" max="10" width="12.73046875" style="35" customWidth="1"/>
  </cols>
  <sheetData>
    <row r="1" spans="1:13" ht="15" customHeight="1">
      <c r="B1" s="211" t="str">
        <f>Cover!B1</f>
        <v>Malecare, Inc</v>
      </c>
      <c r="C1" s="211"/>
      <c r="D1" s="211"/>
      <c r="E1" s="211"/>
      <c r="F1" s="211"/>
      <c r="G1" s="211"/>
      <c r="H1" s="211"/>
      <c r="I1" s="77"/>
      <c r="J1" s="138"/>
      <c r="K1" s="77"/>
    </row>
    <row r="2" spans="1:13">
      <c r="B2" s="211" t="s">
        <v>1</v>
      </c>
      <c r="C2" s="211"/>
      <c r="D2" s="211"/>
      <c r="E2" s="211"/>
      <c r="F2" s="211"/>
      <c r="G2" s="211"/>
      <c r="H2" s="211"/>
      <c r="J2"/>
    </row>
    <row r="3" spans="1:13">
      <c r="B3" s="211" t="str">
        <f>"As of "&amp;Cover!E4&amp;" and "&amp;Cover!E10</f>
        <v>As of December 31, 2018 and December 31, 2017</v>
      </c>
      <c r="C3" s="211"/>
      <c r="D3" s="211"/>
      <c r="E3" s="211"/>
      <c r="F3" s="211"/>
      <c r="G3" s="211"/>
      <c r="H3" s="211"/>
      <c r="J3"/>
    </row>
    <row r="5" spans="1:13">
      <c r="F5" s="104" t="str">
        <f>Cover!G4</f>
        <v>Dec-18</v>
      </c>
      <c r="G5" s="37"/>
      <c r="H5" s="104" t="str">
        <f>Cover!G10</f>
        <v>Dec-17</v>
      </c>
      <c r="J5" s="104" t="s">
        <v>283</v>
      </c>
    </row>
    <row r="6" spans="1:13">
      <c r="B6" t="s">
        <v>322</v>
      </c>
    </row>
    <row r="7" spans="1:13">
      <c r="C7" t="s">
        <v>324</v>
      </c>
    </row>
    <row r="8" spans="1:13" hidden="1" outlineLevel="1">
      <c r="A8" s="82" t="s">
        <v>3</v>
      </c>
      <c r="D8" t="s">
        <v>4</v>
      </c>
      <c r="F8" s="38">
        <f>IFERROR(INDEX(BS.current!J:J,MATCH(SOFP!A8,BS.current!B:B,0),0),0)</f>
        <v>71474.84</v>
      </c>
      <c r="G8" s="38"/>
      <c r="H8" s="38">
        <f>IFERROR(INDEX(BS.prior!J:J,MATCH(SOFP!A8,BS.prior!B:B,0),0),0)</f>
        <v>12321.73</v>
      </c>
      <c r="J8" s="38"/>
    </row>
    <row r="9" spans="1:13" s="126" customFormat="1" hidden="1" outlineLevel="1">
      <c r="A9" s="127" t="s">
        <v>7</v>
      </c>
      <c r="D9" s="126" t="s">
        <v>8</v>
      </c>
      <c r="F9" s="38">
        <f>IFERROR(INDEX(BS.current!J:J,MATCH(SOFP!A9,BS.current!B:B,0),0),0)</f>
        <v>0</v>
      </c>
      <c r="G9" s="38"/>
      <c r="H9" s="38">
        <f>IFERROR(INDEX(BS.prior!J:J,MATCH(SOFP!A9,BS.prior!B:B,0),0),0)</f>
        <v>0</v>
      </c>
      <c r="J9" s="38"/>
    </row>
    <row r="10" spans="1:13" collapsed="1">
      <c r="A10" s="82"/>
      <c r="D10" t="s">
        <v>204</v>
      </c>
      <c r="F10" s="38">
        <f>SUBTOTAL(9,F8:F9)</f>
        <v>71474.84</v>
      </c>
      <c r="G10" s="38"/>
      <c r="H10" s="38">
        <f>SUBTOTAL(9,H8:H9)</f>
        <v>12321.73</v>
      </c>
      <c r="J10" s="38">
        <f>F10-H10</f>
        <v>59153.11</v>
      </c>
      <c r="K10" s="129"/>
    </row>
    <row r="11" spans="1:13">
      <c r="A11" s="93" t="s">
        <v>5</v>
      </c>
      <c r="D11" t="s">
        <v>6</v>
      </c>
      <c r="F11" s="38">
        <f>IFERROR(INDEX(BS.current!J:J,MATCH(SOFP!A11,BS.current!B:B,0),0),0)</f>
        <v>35946.050000000003</v>
      </c>
      <c r="G11" s="38"/>
      <c r="H11" s="38">
        <f>IFERROR(INDEX(BS.prior!J:J,MATCH(SOFP!A11,BS.prior!B:B,0),0),0)</f>
        <v>17028</v>
      </c>
      <c r="J11" s="38">
        <f>F11-H11</f>
        <v>18918.050000000003</v>
      </c>
      <c r="K11" s="129"/>
    </row>
    <row r="12" spans="1:13">
      <c r="A12" s="82" t="s">
        <v>9</v>
      </c>
      <c r="D12" t="s">
        <v>10</v>
      </c>
      <c r="F12" s="38">
        <f>IFERROR(INDEX(BS.current!J:J,MATCH(SOFP!A12,BS.current!B:B,0),0),0)</f>
        <v>219.5</v>
      </c>
      <c r="G12" s="38"/>
      <c r="H12" s="38">
        <f>IFERROR(INDEX(BS.prior!J:J,MATCH(SOFP!A12,BS.prior!B:B,0),0),0)</f>
        <v>219.5</v>
      </c>
      <c r="J12" s="38">
        <f>F12-H12</f>
        <v>0</v>
      </c>
      <c r="K12" s="129"/>
    </row>
    <row r="13" spans="1:13">
      <c r="A13" s="93" t="s">
        <v>11</v>
      </c>
      <c r="D13" t="s">
        <v>12</v>
      </c>
      <c r="F13" s="38">
        <f>IFERROR(INDEX(BS.current!J:J,MATCH(SOFP!A13,BS.current!B:B,0),0),0)</f>
        <v>1800</v>
      </c>
      <c r="G13" s="38"/>
      <c r="H13" s="38">
        <f>IFERROR(INDEX(BS.prior!J:J,MATCH(SOFP!A13,BS.prior!B:B,0),0),0)</f>
        <v>1800</v>
      </c>
      <c r="J13" s="38">
        <f>F13-H13</f>
        <v>0</v>
      </c>
      <c r="K13" s="129"/>
    </row>
    <row r="14" spans="1:13">
      <c r="E14" t="s">
        <v>325</v>
      </c>
      <c r="F14" s="39">
        <f>SUBTOTAL(9,F8:F13)</f>
        <v>109440.39</v>
      </c>
      <c r="G14" s="38"/>
      <c r="H14" s="39">
        <f>SUBTOTAL(9,H8:H13)</f>
        <v>31369.23</v>
      </c>
      <c r="J14" s="39">
        <f>SUBTOTAL(9,J8:J13)</f>
        <v>78071.16</v>
      </c>
      <c r="M14" s="1"/>
    </row>
    <row r="15" spans="1:13">
      <c r="F15" s="38"/>
      <c r="G15" s="38"/>
      <c r="H15" s="38"/>
      <c r="J15" s="38"/>
    </row>
    <row r="16" spans="1:13">
      <c r="C16" t="s">
        <v>13</v>
      </c>
      <c r="F16" s="38"/>
      <c r="G16" s="38"/>
      <c r="H16" s="38"/>
      <c r="J16" s="38"/>
    </row>
    <row r="17" spans="1:13">
      <c r="A17" s="93" t="s">
        <v>201</v>
      </c>
      <c r="D17" s="48" t="s">
        <v>14</v>
      </c>
      <c r="F17" s="38">
        <f>IFERROR(INDEX(BS.current!J:J,MATCH(SOFP!A17,BS.current!B:B,0),0),0)</f>
        <v>2594.81</v>
      </c>
      <c r="G17" s="38"/>
      <c r="H17" s="38">
        <f>IFERROR(INDEX(BS.prior!J:J,MATCH(SOFP!A17,BS.prior!B:B,0),0),0)</f>
        <v>0</v>
      </c>
      <c r="J17" s="38"/>
    </row>
    <row r="18" spans="1:13" hidden="1" outlineLevel="1">
      <c r="D18" t="s">
        <v>15</v>
      </c>
      <c r="F18" s="40">
        <f>IFERROR(INDEX(BS.current!J:J,MATCH(SOFP!A18,BS.current!B:B,0),0),0)</f>
        <v>0</v>
      </c>
      <c r="G18" s="40"/>
      <c r="H18" s="40">
        <f>IFERROR(INDEX(BS.prior!J:J,MATCH(SOFP!A18,BS.prior!B:B,0),0),0)</f>
        <v>0</v>
      </c>
      <c r="J18" s="40"/>
    </row>
    <row r="19" spans="1:13" collapsed="1">
      <c r="A19" s="82" t="s">
        <v>348</v>
      </c>
      <c r="D19" t="s">
        <v>353</v>
      </c>
      <c r="F19" s="38">
        <f>IFERROR(INDEX(BS.current!J:J,MATCH(SOFP!A19,BS.current!B:B,0),0),0)</f>
        <v>-72.08</v>
      </c>
      <c r="G19" s="38"/>
      <c r="H19" s="38">
        <f>IFERROR(INDEX(BS.prior!J:J,MATCH(SOFP!A19,BS.prior!B:B,0),0),0)</f>
        <v>0</v>
      </c>
      <c r="J19" s="38">
        <f>F19-H19</f>
        <v>-72.08</v>
      </c>
      <c r="K19" s="129"/>
    </row>
    <row r="20" spans="1:13">
      <c r="A20" s="82" t="s">
        <v>208</v>
      </c>
      <c r="D20" t="s">
        <v>220</v>
      </c>
      <c r="F20" s="38">
        <f>IFERROR(INDEX(BS.current!J:J,MATCH(SOFP!A20,BS.current!B:B,0),0),0)</f>
        <v>1300</v>
      </c>
      <c r="G20" s="38"/>
      <c r="H20" s="38">
        <f>IFERROR(INDEX(BS.prior!J:J,MATCH(SOFP!A20,BS.prior!B:B,0),0),0)</f>
        <v>1300</v>
      </c>
      <c r="J20" s="38">
        <f>F20-H20</f>
        <v>0</v>
      </c>
      <c r="K20" s="129"/>
    </row>
    <row r="21" spans="1:13">
      <c r="A21" s="82" t="s">
        <v>207</v>
      </c>
      <c r="D21" t="s">
        <v>221</v>
      </c>
      <c r="F21" s="38">
        <f>IFERROR(INDEX(BS.current!J:J,MATCH(SOFP!A21,BS.current!B:B,0),0),0)</f>
        <v>37579</v>
      </c>
      <c r="G21" s="38"/>
      <c r="H21" s="38">
        <f>IFERROR(INDEX(BS.prior!J:J,MATCH(SOFP!A21,BS.prior!B:B,0),0),0)</f>
        <v>37579</v>
      </c>
      <c r="J21" s="38">
        <f>F21-H21</f>
        <v>0</v>
      </c>
      <c r="K21" s="129"/>
    </row>
    <row r="22" spans="1:13">
      <c r="A22" s="82" t="s">
        <v>209</v>
      </c>
      <c r="D22" t="s">
        <v>222</v>
      </c>
      <c r="F22" s="38">
        <f>IFERROR(INDEX(BS.current!J:J,MATCH(SOFP!A22,BS.current!B:B,0),0),0)</f>
        <v>-16710.55</v>
      </c>
      <c r="G22" s="38"/>
      <c r="H22" s="38">
        <f>IFERROR(INDEX(BS.prior!J:J,MATCH(SOFP!A22,BS.prior!B:B,0),0),0)</f>
        <v>-9194.75</v>
      </c>
      <c r="J22" s="38">
        <f>F22-H22</f>
        <v>-7515.7999999999993</v>
      </c>
      <c r="K22" s="129"/>
    </row>
    <row r="23" spans="1:13">
      <c r="E23" t="s">
        <v>16</v>
      </c>
      <c r="F23" s="39">
        <f>SUBTOTAL(9,F17:F22)</f>
        <v>24691.180000000004</v>
      </c>
      <c r="G23" s="38"/>
      <c r="H23" s="39">
        <f>SUBTOTAL(9,H17:H22)</f>
        <v>29684.25</v>
      </c>
      <c r="J23" s="39">
        <f>SUBTOTAL(9,J17:J22)</f>
        <v>-7587.8799999999992</v>
      </c>
      <c r="M23" s="1"/>
    </row>
    <row r="24" spans="1:13" hidden="1">
      <c r="F24" s="38"/>
      <c r="G24" s="38"/>
      <c r="H24" s="38"/>
      <c r="J24" s="38"/>
    </row>
    <row r="25" spans="1:13" hidden="1">
      <c r="C25" t="s">
        <v>17</v>
      </c>
      <c r="F25" s="38"/>
      <c r="G25" s="38"/>
      <c r="H25" s="38"/>
      <c r="J25" s="38"/>
    </row>
    <row r="26" spans="1:13" hidden="1">
      <c r="D26" t="s">
        <v>18</v>
      </c>
      <c r="F26" s="38">
        <v>0</v>
      </c>
      <c r="G26" s="38"/>
      <c r="H26" s="40">
        <v>0</v>
      </c>
      <c r="J26" s="40"/>
    </row>
    <row r="27" spans="1:13" hidden="1">
      <c r="D27" t="s">
        <v>19</v>
      </c>
      <c r="F27" s="38">
        <v>0</v>
      </c>
      <c r="G27" s="38"/>
      <c r="H27" s="40">
        <v>0</v>
      </c>
      <c r="J27" s="40"/>
    </row>
    <row r="28" spans="1:13" hidden="1">
      <c r="F28" s="38"/>
      <c r="G28" s="38"/>
      <c r="H28" s="38"/>
      <c r="J28" s="38"/>
    </row>
    <row r="29" spans="1:13" hidden="1">
      <c r="E29" t="s">
        <v>20</v>
      </c>
      <c r="F29" s="39">
        <f>SUM(F25:F28)</f>
        <v>0</v>
      </c>
      <c r="G29" s="38"/>
      <c r="H29" s="39">
        <f>SUM(H25:H28)</f>
        <v>0</v>
      </c>
      <c r="J29" s="39"/>
    </row>
    <row r="30" spans="1:13" ht="3" customHeight="1">
      <c r="F30" s="38"/>
      <c r="G30" s="38"/>
      <c r="H30" s="38"/>
      <c r="J30" s="38"/>
    </row>
    <row r="31" spans="1:13" ht="14.65" thickBot="1">
      <c r="C31" t="s">
        <v>21</v>
      </c>
      <c r="F31" s="105">
        <f>F14+F23</f>
        <v>134131.57</v>
      </c>
      <c r="G31" s="38"/>
      <c r="H31" s="105">
        <f>H14+H23</f>
        <v>61053.479999999996</v>
      </c>
      <c r="J31" s="105">
        <f>J14+J23</f>
        <v>70483.28</v>
      </c>
      <c r="K31" s="129"/>
      <c r="M31" s="1"/>
    </row>
    <row r="32" spans="1:13" ht="14.65" thickTop="1">
      <c r="F32" s="38"/>
      <c r="G32" s="38"/>
      <c r="H32" s="38"/>
      <c r="J32" s="38"/>
    </row>
    <row r="33" spans="1:11">
      <c r="B33" t="s">
        <v>323</v>
      </c>
      <c r="F33" s="38"/>
      <c r="G33" s="38"/>
      <c r="H33" s="38"/>
      <c r="J33" s="38"/>
    </row>
    <row r="34" spans="1:11">
      <c r="C34" t="s">
        <v>22</v>
      </c>
      <c r="F34" s="38"/>
      <c r="G34" s="38"/>
      <c r="H34" s="38"/>
      <c r="J34" s="38"/>
    </row>
    <row r="35" spans="1:11" hidden="1" outlineLevel="1">
      <c r="A35" s="93" t="s">
        <v>23</v>
      </c>
      <c r="D35" t="s">
        <v>24</v>
      </c>
      <c r="F35" s="38">
        <f>IFERROR(INDEX(BS.current!J:J,MATCH(SOFP!A35,BS.current!B:B,0),0),0)</f>
        <v>0</v>
      </c>
      <c r="G35" s="38"/>
      <c r="H35" s="38">
        <f>IFERROR(INDEX(BS.prior!J:J,MATCH(SOFP!A35,BS.prior!B:B,0),0),0)</f>
        <v>0</v>
      </c>
      <c r="J35" s="38"/>
      <c r="K35" s="129"/>
    </row>
    <row r="36" spans="1:11" hidden="1" outlineLevel="1">
      <c r="A36" s="93" t="s">
        <v>25</v>
      </c>
      <c r="D36" t="s">
        <v>26</v>
      </c>
      <c r="F36" s="38">
        <f>IFERROR(INDEX(BS.current!J:J,MATCH(SOFP!A36,BS.current!B:B,0),0),0)</f>
        <v>0</v>
      </c>
      <c r="G36" s="38"/>
      <c r="H36" s="38">
        <f>IFERROR(INDEX(BS.prior!J:J,MATCH(SOFP!A36,BS.prior!B:B,0),0),0)</f>
        <v>0</v>
      </c>
      <c r="J36" s="38"/>
      <c r="K36" s="129"/>
    </row>
    <row r="37" spans="1:11" collapsed="1">
      <c r="A37" s="93" t="s">
        <v>27</v>
      </c>
      <c r="D37" t="s">
        <v>28</v>
      </c>
      <c r="F37" s="38">
        <f>IFERROR(INDEX(BS.current!J:J,MATCH(SOFP!A37,BS.current!B:B,0),0),0)</f>
        <v>14349.48</v>
      </c>
      <c r="G37" s="38"/>
      <c r="H37" s="38">
        <f>IFERROR(INDEX(BS.prior!J:J,MATCH(SOFP!A37,BS.prior!B:B,0),0),0)</f>
        <v>2812.36</v>
      </c>
      <c r="J37" s="38">
        <f>F37-H37</f>
        <v>11537.119999999999</v>
      </c>
      <c r="K37" s="129"/>
    </row>
    <row r="38" spans="1:11" hidden="1" outlineLevel="1">
      <c r="A38" s="93" t="s">
        <v>203</v>
      </c>
      <c r="D38" t="s">
        <v>30</v>
      </c>
      <c r="F38" s="38">
        <f>IFERROR(INDEX(BS.current!J:J,MATCH(SOFP!A38,BS.current!B:B,0),0),0)</f>
        <v>0</v>
      </c>
      <c r="G38" s="38"/>
      <c r="H38" s="38">
        <f>IFERROR(INDEX(BS.prior!J:J,MATCH(SOFP!A38,BS.prior!B:B,0),0),0)</f>
        <v>0</v>
      </c>
      <c r="J38" s="38">
        <f>F38-H38</f>
        <v>0</v>
      </c>
      <c r="K38" s="129"/>
    </row>
    <row r="39" spans="1:11" hidden="1" outlineLevel="1">
      <c r="A39" s="93" t="s">
        <v>31</v>
      </c>
      <c r="D39" t="s">
        <v>32</v>
      </c>
      <c r="F39" s="38">
        <f>IFERROR(INDEX(BS.current!J:J,MATCH(SOFP!A39,BS.current!B:B,0),0),0)</f>
        <v>0</v>
      </c>
      <c r="G39" s="38"/>
      <c r="H39" s="38">
        <f>IFERROR(INDEX(BS.prior!J:J,MATCH(SOFP!A39,BS.prior!B:B,0),0),0)</f>
        <v>0</v>
      </c>
      <c r="J39" s="38"/>
    </row>
    <row r="40" spans="1:11" collapsed="1">
      <c r="E40" t="s">
        <v>33</v>
      </c>
      <c r="F40" s="39">
        <f>SUBTOTAL(9,F34:F39)</f>
        <v>14349.48</v>
      </c>
      <c r="G40" s="38"/>
      <c r="H40" s="39">
        <f>SUBTOTAL(9,H34:H39)</f>
        <v>2812.36</v>
      </c>
      <c r="J40" s="39">
        <f>SUBTOTAL(9,J34:J39)</f>
        <v>11537.119999999999</v>
      </c>
    </row>
    <row r="41" spans="1:11" ht="2.65" customHeight="1">
      <c r="F41" s="38"/>
      <c r="G41" s="38"/>
      <c r="H41" s="38"/>
      <c r="J41" s="38"/>
    </row>
    <row r="42" spans="1:11" hidden="1">
      <c r="C42" t="s">
        <v>34</v>
      </c>
      <c r="F42" s="38"/>
      <c r="G42" s="38"/>
      <c r="H42" s="38"/>
      <c r="J42" s="38"/>
    </row>
    <row r="43" spans="1:11" hidden="1">
      <c r="D43" t="s">
        <v>35</v>
      </c>
      <c r="F43" s="38">
        <v>0</v>
      </c>
      <c r="G43" s="38"/>
      <c r="H43" s="38">
        <v>0</v>
      </c>
      <c r="J43" s="38"/>
    </row>
    <row r="44" spans="1:11" hidden="1">
      <c r="E44" t="s">
        <v>36</v>
      </c>
      <c r="F44" s="39">
        <f>SUM(F42:F43)</f>
        <v>0</v>
      </c>
      <c r="G44" s="38"/>
      <c r="H44" s="39">
        <f>SUM(H42:H43)</f>
        <v>0</v>
      </c>
      <c r="J44" s="39"/>
    </row>
    <row r="45" spans="1:11" hidden="1">
      <c r="F45" s="41"/>
      <c r="G45" s="38"/>
      <c r="H45" s="41"/>
      <c r="J45" s="41"/>
    </row>
    <row r="46" spans="1:11">
      <c r="C46" t="s">
        <v>37</v>
      </c>
      <c r="F46" s="203">
        <f>SUBTOTAL(9,F34:F41)</f>
        <v>14349.48</v>
      </c>
      <c r="G46" s="38"/>
      <c r="H46" s="203">
        <f>SUBTOTAL(9,H34:H41)</f>
        <v>2812.36</v>
      </c>
      <c r="J46" s="203">
        <f>SUBTOTAL(9,J34:J41)</f>
        <v>11537.119999999999</v>
      </c>
    </row>
    <row r="47" spans="1:11">
      <c r="F47" s="38"/>
      <c r="G47" s="38"/>
      <c r="H47" s="38"/>
      <c r="J47" s="38"/>
    </row>
    <row r="48" spans="1:11">
      <c r="C48" t="s">
        <v>38</v>
      </c>
      <c r="F48" s="38"/>
      <c r="G48" s="38"/>
      <c r="H48" s="38"/>
      <c r="J48" s="38"/>
    </row>
    <row r="49" spans="1:12">
      <c r="A49" s="93" t="s">
        <v>39</v>
      </c>
      <c r="D49" t="s">
        <v>320</v>
      </c>
      <c r="F49" s="38">
        <f>+SOA!I33</f>
        <v>84977.169999999984</v>
      </c>
      <c r="G49" s="38"/>
      <c r="H49" s="38">
        <f>H51-H50</f>
        <v>55741.119999999995</v>
      </c>
      <c r="I49" s="1"/>
      <c r="J49" s="38">
        <f>F49-H49</f>
        <v>29236.049999999988</v>
      </c>
    </row>
    <row r="50" spans="1:12">
      <c r="D50" t="s">
        <v>321</v>
      </c>
      <c r="F50" s="38">
        <f>+SOA!K33</f>
        <v>34804.800000000003</v>
      </c>
      <c r="G50" s="38"/>
      <c r="H50" s="38">
        <v>2500</v>
      </c>
      <c r="J50" s="38">
        <f>F50-H50</f>
        <v>32304.800000000003</v>
      </c>
    </row>
    <row r="51" spans="1:12">
      <c r="A51" s="93" t="s">
        <v>40</v>
      </c>
      <c r="E51" t="s">
        <v>41</v>
      </c>
      <c r="F51" s="39">
        <f>SUM(F48:F50)</f>
        <v>119781.96999999999</v>
      </c>
      <c r="G51" s="38"/>
      <c r="H51" s="39">
        <f>INDEX(BS.prior!J:J,MATCH(SOFP!A51,BS.prior!B:B,0))</f>
        <v>58241.119999999995</v>
      </c>
      <c r="J51" s="39">
        <f>SUM(J49:J50)</f>
        <v>61540.849999999991</v>
      </c>
      <c r="K51" s="129"/>
    </row>
    <row r="52" spans="1:12" ht="3.75" customHeight="1">
      <c r="F52" s="38"/>
      <c r="G52" s="38"/>
      <c r="H52" s="38"/>
      <c r="J52" s="38"/>
    </row>
    <row r="53" spans="1:12" ht="14.65" thickBot="1">
      <c r="C53" t="s">
        <v>42</v>
      </c>
      <c r="F53" s="105">
        <f>F46+F51</f>
        <v>134131.44999999998</v>
      </c>
      <c r="G53" s="38"/>
      <c r="H53" s="105">
        <f>+H40+H44+H51</f>
        <v>61053.479999999996</v>
      </c>
      <c r="J53" s="105">
        <f>+J40+J44+J51</f>
        <v>73077.969999999987</v>
      </c>
    </row>
    <row r="54" spans="1:12" ht="14.65" thickTop="1"/>
    <row r="55" spans="1:12" s="69" customFormat="1" hidden="1" outlineLevel="1">
      <c r="A55" s="95"/>
      <c r="C55" s="69" t="s">
        <v>64</v>
      </c>
      <c r="F55" s="92">
        <f>F31-F53</f>
        <v>0.12000000002444722</v>
      </c>
      <c r="G55" s="92"/>
      <c r="H55" s="92">
        <f>H31-H53</f>
        <v>0</v>
      </c>
      <c r="J55" s="92"/>
    </row>
    <row r="56" spans="1:12" hidden="1" outlineLevel="1">
      <c r="F56" s="92">
        <f>F51-SOA!M33</f>
        <v>0</v>
      </c>
      <c r="H56" s="92">
        <f>H51-NARF!B48</f>
        <v>0.11999999999534339</v>
      </c>
    </row>
    <row r="57" spans="1:12" collapsed="1">
      <c r="F57" s="92"/>
      <c r="H57" s="92"/>
    </row>
    <row r="58" spans="1:12">
      <c r="B58" s="182" t="s">
        <v>347</v>
      </c>
      <c r="C58" s="183"/>
      <c r="D58" s="183"/>
      <c r="E58" s="183"/>
      <c r="F58" s="183"/>
      <c r="G58" s="183"/>
      <c r="H58" s="183"/>
    </row>
    <row r="59" spans="1:12">
      <c r="B59" s="184" t="s">
        <v>312</v>
      </c>
      <c r="C59" s="183"/>
      <c r="D59" s="183"/>
      <c r="E59" s="183"/>
      <c r="F59" s="183"/>
      <c r="G59" s="183"/>
      <c r="H59" s="183"/>
      <c r="I59" s="183"/>
      <c r="J59" s="183"/>
      <c r="L59" s="35"/>
    </row>
    <row r="60" spans="1:12">
      <c r="B60" s="184" t="s">
        <v>313</v>
      </c>
      <c r="C60" s="183"/>
      <c r="D60" s="183"/>
      <c r="E60" s="183"/>
      <c r="F60" s="183"/>
      <c r="G60" s="183"/>
      <c r="H60" s="183"/>
      <c r="I60" s="183"/>
      <c r="J60" s="183"/>
      <c r="L60" s="35"/>
    </row>
    <row r="61" spans="1:12">
      <c r="B61" s="183"/>
      <c r="C61" s="183"/>
      <c r="D61" s="183"/>
      <c r="E61" s="183"/>
      <c r="F61" s="183"/>
      <c r="G61" s="183"/>
      <c r="H61" s="183"/>
      <c r="I61" s="183"/>
      <c r="J61" s="183"/>
      <c r="L61" s="35"/>
    </row>
    <row r="62" spans="1:12">
      <c r="B62" s="185" t="s">
        <v>4</v>
      </c>
      <c r="C62" s="183"/>
      <c r="D62" s="183"/>
      <c r="E62" s="183"/>
      <c r="F62" s="183"/>
      <c r="G62" s="183"/>
      <c r="H62" s="186">
        <f>F10</f>
        <v>71474.84</v>
      </c>
      <c r="I62" s="183"/>
      <c r="L62" s="35"/>
    </row>
    <row r="63" spans="1:12">
      <c r="B63" s="185" t="s">
        <v>6</v>
      </c>
      <c r="C63" s="183"/>
      <c r="D63" s="183"/>
      <c r="E63" s="183"/>
      <c r="F63" s="183"/>
      <c r="G63" s="183"/>
      <c r="H63" s="187">
        <f>F11</f>
        <v>35946.050000000003</v>
      </c>
      <c r="I63" s="183"/>
      <c r="L63" s="35"/>
    </row>
    <row r="64" spans="1:12">
      <c r="B64" s="185" t="s">
        <v>314</v>
      </c>
      <c r="C64" s="183"/>
      <c r="D64" s="183"/>
      <c r="E64" s="183"/>
      <c r="F64" s="183"/>
      <c r="G64" s="183"/>
      <c r="H64" s="188"/>
      <c r="I64" s="183"/>
      <c r="L64" s="35"/>
    </row>
    <row r="65" spans="2:12" hidden="1" outlineLevel="1">
      <c r="B65" s="189" t="s">
        <v>315</v>
      </c>
      <c r="C65" s="183"/>
      <c r="D65" s="183"/>
      <c r="E65" s="183"/>
      <c r="F65" s="183"/>
      <c r="G65" s="183"/>
      <c r="H65" s="190">
        <f>-NARF!E18</f>
        <v>0</v>
      </c>
      <c r="I65" s="183"/>
      <c r="L65" s="35"/>
    </row>
    <row r="66" spans="2:12" collapsed="1">
      <c r="B66" s="189" t="s">
        <v>316</v>
      </c>
      <c r="C66" s="183"/>
      <c r="D66" s="183"/>
      <c r="E66" s="183"/>
      <c r="F66" s="183"/>
      <c r="G66" s="183"/>
      <c r="H66" s="191">
        <f>-NARF!E28</f>
        <v>-34804.800000000003</v>
      </c>
      <c r="I66" s="183"/>
      <c r="L66" s="35"/>
    </row>
    <row r="67" spans="2:12" ht="14.65" thickBot="1">
      <c r="B67" s="183" t="s">
        <v>317</v>
      </c>
      <c r="C67" s="183"/>
      <c r="D67" s="183"/>
      <c r="E67" s="183"/>
      <c r="F67" s="183"/>
      <c r="G67" s="183"/>
      <c r="H67" s="192">
        <f>SUM(H62:H66)</f>
        <v>72616.09</v>
      </c>
      <c r="I67" s="183"/>
      <c r="L67" s="35"/>
    </row>
    <row r="68" spans="2:12" ht="14.65" thickTop="1"/>
    <row r="69" spans="2:12">
      <c r="H69" s="129"/>
    </row>
  </sheetData>
  <mergeCells count="3">
    <mergeCell ref="B1:H1"/>
    <mergeCell ref="B2:H2"/>
    <mergeCell ref="B3:H3"/>
  </mergeCells>
  <phoneticPr fontId="10" type="noConversion"/>
  <printOptions horizontalCentered="1"/>
  <pageMargins left="0.75" right="0.75" top="0.75" bottom="0.75" header="0.5" footer="0.5"/>
  <pageSetup orientation="portrait" r:id="rId1"/>
  <headerFooter>
    <oddFooter>&amp;CUnaudited - For Management Use Only&amp;RPage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X38"/>
  <sheetViews>
    <sheetView topLeftCell="E1" zoomScaleNormal="100" workbookViewId="0">
      <selection activeCell="V10" sqref="V10"/>
    </sheetView>
  </sheetViews>
  <sheetFormatPr defaultRowHeight="14.25" outlineLevelRow="1" outlineLevelCol="1"/>
  <cols>
    <col min="1" max="1" width="6.3984375" style="93" hidden="1" customWidth="1" outlineLevel="1"/>
    <col min="2" max="2" width="37.73046875" style="93" hidden="1" customWidth="1" outlineLevel="1"/>
    <col min="3" max="3" width="6.3984375" style="93" hidden="1" customWidth="1" outlineLevel="1"/>
    <col min="4" max="4" width="25.73046875" style="93" hidden="1" customWidth="1" outlineLevel="1"/>
    <col min="5" max="5" width="2.3984375" customWidth="1" collapsed="1"/>
    <col min="6" max="6" width="3.73046875" customWidth="1"/>
    <col min="7" max="7" width="5" customWidth="1"/>
    <col min="8" max="8" width="39" customWidth="1"/>
    <col min="9" max="9" width="12.73046875" style="1" customWidth="1"/>
    <col min="10" max="10" width="1.3984375" style="4" customWidth="1"/>
    <col min="11" max="11" width="12.73046875" style="1" customWidth="1"/>
    <col min="12" max="12" width="1.3984375" style="4" customWidth="1"/>
    <col min="13" max="13" width="12.73046875" style="1" customWidth="1"/>
    <col min="14" max="14" width="1.3984375" style="4" customWidth="1"/>
    <col min="15" max="15" width="12.73046875" style="1" customWidth="1"/>
    <col min="16" max="16" width="4.59765625" customWidth="1"/>
    <col min="17" max="17" width="6.3984375" style="93" hidden="1" customWidth="1" outlineLevel="1"/>
    <col min="18" max="18" width="37.73046875" style="93" hidden="1" customWidth="1" outlineLevel="1"/>
    <col min="19" max="19" width="6.3984375" style="93" hidden="1" customWidth="1" outlineLevel="1"/>
    <col min="20" max="20" width="25.73046875" style="93" hidden="1" customWidth="1" outlineLevel="1"/>
    <col min="21" max="21" width="9" collapsed="1"/>
    <col min="24" max="24" width="10.86328125" bestFit="1" customWidth="1"/>
  </cols>
  <sheetData>
    <row r="1" spans="1:24">
      <c r="E1" s="211" t="str">
        <f>Cover!B1</f>
        <v>Malecare, Inc</v>
      </c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24">
      <c r="E2" s="211" t="s">
        <v>43</v>
      </c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24">
      <c r="E3" s="211" t="str">
        <f>"For the "&amp;Cover!F4&amp;" ended "&amp;Cover!E4&amp;" and "&amp;Cover!E6</f>
        <v>For the 12 months ended December 31, 2018 and December 31, 2017</v>
      </c>
      <c r="F3" s="211"/>
      <c r="G3" s="211"/>
      <c r="H3" s="211"/>
      <c r="I3" s="211"/>
      <c r="J3" s="211"/>
      <c r="K3" s="211"/>
      <c r="L3" s="211"/>
      <c r="M3" s="211"/>
      <c r="N3" s="211"/>
      <c r="O3" s="211"/>
    </row>
    <row r="6" spans="1:24">
      <c r="I6" s="106" t="s">
        <v>280</v>
      </c>
      <c r="J6" s="75"/>
      <c r="K6" s="106" t="s">
        <v>282</v>
      </c>
      <c r="L6" s="75"/>
      <c r="M6" s="107" t="str">
        <f>"YTD "&amp;Cover!D4</f>
        <v>YTD 2018</v>
      </c>
      <c r="O6" s="107" t="str">
        <f>"YTD "&amp;Cover!D6</f>
        <v>YTD 2017</v>
      </c>
    </row>
    <row r="7" spans="1:24">
      <c r="A7" s="96" t="str">
        <f>M6</f>
        <v>YTD 2018</v>
      </c>
      <c r="E7" t="s">
        <v>346</v>
      </c>
      <c r="I7" s="109" t="s">
        <v>281</v>
      </c>
      <c r="J7" s="75"/>
      <c r="K7" s="109" t="s">
        <v>281</v>
      </c>
      <c r="L7" s="75"/>
      <c r="M7" s="109" t="s">
        <v>44</v>
      </c>
      <c r="N7" s="108"/>
      <c r="O7" s="109" t="s">
        <v>44</v>
      </c>
      <c r="Q7" s="96" t="str">
        <f>O6</f>
        <v>YTD 2017</v>
      </c>
    </row>
    <row r="8" spans="1:24">
      <c r="F8" t="s">
        <v>45</v>
      </c>
    </row>
    <row r="9" spans="1:24">
      <c r="A9" s="93">
        <f>MATCH(B9,'P&amp;L.current'!$B:$B,0)</f>
        <v>5</v>
      </c>
      <c r="B9" s="93" t="s">
        <v>46</v>
      </c>
      <c r="C9" s="93">
        <f>INDEX('P&amp;L.current'!$1:$1,MATCH(SOA!D9,'P&amp;L.current'!$3:$3,0))</f>
        <v>12</v>
      </c>
      <c r="D9" s="93" t="s">
        <v>47</v>
      </c>
      <c r="G9" t="s">
        <v>326</v>
      </c>
      <c r="I9" s="7">
        <f>M9-K9</f>
        <v>34810.83</v>
      </c>
      <c r="J9" s="10"/>
      <c r="K9" s="1">
        <f>NARF!C27</f>
        <v>18804.8</v>
      </c>
      <c r="M9" s="1">
        <f>IFERROR(INDEX('P&amp;L.current'!$A$1:$CV$200,$A9,$C9),0)</f>
        <v>53615.63</v>
      </c>
      <c r="O9" s="1">
        <f>IFERROR(INDEX('P&amp;L.prior'!$A$1:$CV$200,$Q9,$S9),0)</f>
        <v>13295.16</v>
      </c>
      <c r="Q9" s="93">
        <f>MATCH(R9,'P&amp;L.prior'!$B:$B,0)</f>
        <v>5</v>
      </c>
      <c r="R9" s="93" t="s">
        <v>46</v>
      </c>
      <c r="S9" s="93">
        <f>INDEX('P&amp;L.prior'!$1:$1,MATCH(SOA!T9,'P&amp;L.prior'!$3:$3,0))</f>
        <v>12</v>
      </c>
      <c r="T9" s="93" t="s">
        <v>47</v>
      </c>
      <c r="U9" s="129"/>
      <c r="V9" s="1"/>
    </row>
    <row r="10" spans="1:24">
      <c r="A10" s="93">
        <f>MATCH(B10,'P&amp;L.current'!$B:$B,0)</f>
        <v>6</v>
      </c>
      <c r="B10" s="93" t="s">
        <v>48</v>
      </c>
      <c r="C10" s="93">
        <f>INDEX('P&amp;L.current'!$1:$1,MATCH(SOA!D10,'P&amp;L.current'!$3:$3,0))</f>
        <v>12</v>
      </c>
      <c r="D10" s="93" t="s">
        <v>47</v>
      </c>
      <c r="G10" t="s">
        <v>327</v>
      </c>
      <c r="I10" s="7">
        <f t="shared" ref="I10:I11" si="0">M10-K10</f>
        <v>42845.53</v>
      </c>
      <c r="J10" s="10"/>
      <c r="K10" s="1">
        <f>NARF!C18+NARF!C25</f>
        <v>90000</v>
      </c>
      <c r="M10" s="7">
        <f>IFERROR(INDEX('P&amp;L.current'!$A$1:$CV$200,$A10,$C10),0)</f>
        <v>132845.53</v>
      </c>
      <c r="N10" s="10"/>
      <c r="O10" s="7">
        <f>IFERROR(INDEX('P&amp;L.prior'!$A$1:$CV$200,$Q10,$S10),0)</f>
        <v>28110.97</v>
      </c>
      <c r="Q10" s="93">
        <f>MATCH(R10,'P&amp;L.prior'!$B:$B,0)</f>
        <v>6</v>
      </c>
      <c r="R10" s="93" t="s">
        <v>48</v>
      </c>
      <c r="S10" s="93">
        <f>INDEX('P&amp;L.prior'!$1:$1,MATCH(SOA!T10,'P&amp;L.prior'!$3:$3,0))</f>
        <v>12</v>
      </c>
      <c r="T10" s="93" t="s">
        <v>47</v>
      </c>
      <c r="U10" s="129"/>
      <c r="V10" s="1"/>
    </row>
    <row r="11" spans="1:24">
      <c r="A11" s="93">
        <f>MATCH(B11,'P&amp;L.current'!$B:$B,0)</f>
        <v>7</v>
      </c>
      <c r="B11" s="93" t="s">
        <v>49</v>
      </c>
      <c r="C11" s="93">
        <f>INDEX('P&amp;L.current'!$1:$1,MATCH(SOA!D11,'P&amp;L.current'!$3:$3,0))</f>
        <v>12</v>
      </c>
      <c r="D11" s="93" t="s">
        <v>47</v>
      </c>
      <c r="G11" t="s">
        <v>328</v>
      </c>
      <c r="I11" s="7">
        <f t="shared" si="0"/>
        <v>3250</v>
      </c>
      <c r="J11" s="10"/>
      <c r="K11" s="7">
        <f>NARF!C26</f>
        <v>1000</v>
      </c>
      <c r="L11" s="10"/>
      <c r="M11" s="7">
        <f>IFERROR(INDEX('P&amp;L.current'!$A$1:$CV$200,$A11,$C11),0)</f>
        <v>4250</v>
      </c>
      <c r="N11" s="10"/>
      <c r="O11" s="7">
        <f>IFERROR(INDEX('P&amp;L.prior'!$A$1:$CV$200,$Q11,$S11),0)</f>
        <v>500</v>
      </c>
      <c r="Q11" s="93">
        <f>MATCH(R11,'P&amp;L.prior'!$B:$B,0)</f>
        <v>7</v>
      </c>
      <c r="R11" s="93" t="s">
        <v>49</v>
      </c>
      <c r="S11" s="93">
        <f>INDEX('P&amp;L.prior'!$1:$1,MATCH(SOA!T11,'P&amp;L.prior'!$3:$3,0))</f>
        <v>12</v>
      </c>
      <c r="T11" s="93" t="s">
        <v>47</v>
      </c>
      <c r="U11" s="129"/>
      <c r="V11" s="1"/>
    </row>
    <row r="12" spans="1:24" hidden="1" outlineLevel="1">
      <c r="A12" s="93" t="e">
        <f>MATCH(B12,'P&amp;L.current'!$B:$B,0)</f>
        <v>#N/A</v>
      </c>
      <c r="B12" s="93" t="s">
        <v>184</v>
      </c>
      <c r="C12" s="93">
        <f>INDEX('P&amp;L.current'!$1:$1,MATCH(SOA!D12,'P&amp;L.current'!$3:$3,0))</f>
        <v>12</v>
      </c>
      <c r="D12" s="93" t="s">
        <v>47</v>
      </c>
      <c r="G12" t="s">
        <v>342</v>
      </c>
      <c r="I12" s="7">
        <f t="shared" ref="I12" si="1">M12-K12</f>
        <v>0</v>
      </c>
      <c r="J12" s="10"/>
      <c r="K12" s="7">
        <f>IFERROR(INDEX('P&amp;L.current'!$A$1:$BW$336,$A12,#REF!),0)</f>
        <v>0</v>
      </c>
      <c r="L12" s="10"/>
      <c r="M12" s="7">
        <f>IFERROR(INDEX('P&amp;L.current'!$A$1:$CV$200,$A12,$C12),0)</f>
        <v>0</v>
      </c>
      <c r="N12" s="10"/>
      <c r="O12" s="7">
        <f>IFERROR(INDEX('P&amp;L.prior'!$A$1:$CV$200,$Q12,$S12),0)</f>
        <v>0</v>
      </c>
      <c r="Q12" s="93" t="e">
        <f>MATCH(R12,'P&amp;L.prior'!$B:$B,0)</f>
        <v>#N/A</v>
      </c>
      <c r="R12" s="93" t="s">
        <v>184</v>
      </c>
      <c r="S12" s="93">
        <f>INDEX('P&amp;L.prior'!$1:$1,MATCH(SOA!T12,'P&amp;L.prior'!$3:$3,0))</f>
        <v>12</v>
      </c>
      <c r="T12" s="93" t="s">
        <v>47</v>
      </c>
      <c r="U12" s="129"/>
    </row>
    <row r="13" spans="1:24" collapsed="1">
      <c r="G13" t="s">
        <v>341</v>
      </c>
      <c r="I13" s="7">
        <f>-K13</f>
        <v>77500</v>
      </c>
      <c r="J13" s="10"/>
      <c r="K13" s="7">
        <f>NARF!D46</f>
        <v>-77500</v>
      </c>
      <c r="L13" s="10"/>
      <c r="M13" s="7">
        <f>I13+K13</f>
        <v>0</v>
      </c>
      <c r="N13" s="10"/>
      <c r="O13" s="7">
        <f>IFERROR(INDEX('P&amp;L.prior'!$A$1:$CV$200,$Q13,$S13),0)</f>
        <v>0</v>
      </c>
      <c r="Q13" s="93" t="e">
        <f>MATCH(R13,'P&amp;L.prior'!$B:$B,0)</f>
        <v>#N/A</v>
      </c>
      <c r="R13" s="93" t="s">
        <v>184</v>
      </c>
      <c r="S13" s="93">
        <f>INDEX('P&amp;L.prior'!$1:$1,MATCH(SOA!T13,'P&amp;L.prior'!$3:$3,0))</f>
        <v>12</v>
      </c>
      <c r="T13" s="93" t="s">
        <v>47</v>
      </c>
      <c r="U13" s="129"/>
    </row>
    <row r="14" spans="1:24">
      <c r="H14" t="s">
        <v>50</v>
      </c>
      <c r="I14" s="2">
        <f>SUM(I8:I13)</f>
        <v>158406.35999999999</v>
      </c>
      <c r="K14" s="2">
        <f>SUM(K8:K13)</f>
        <v>32304.800000000003</v>
      </c>
      <c r="M14" s="2">
        <f>SUM(M8:M13)</f>
        <v>190711.16</v>
      </c>
      <c r="O14" s="2">
        <f>SUM(O8:O13)</f>
        <v>41906.130000000005</v>
      </c>
      <c r="U14" s="129"/>
      <c r="V14" s="1"/>
      <c r="X14" s="133"/>
    </row>
    <row r="16" spans="1:24">
      <c r="F16" t="s">
        <v>51</v>
      </c>
    </row>
    <row r="17" spans="1:23">
      <c r="A17" s="93">
        <f>MATCH(B17,'P&amp;L.current'!$B:$B,0)</f>
        <v>8</v>
      </c>
      <c r="B17" s="93" t="s">
        <v>52</v>
      </c>
      <c r="C17" s="93">
        <f>INDEX('P&amp;L.current'!$1:$1,MATCH(SOA!D17,'P&amp;L.current'!$3:$3,0))</f>
        <v>12</v>
      </c>
      <c r="D17" s="93" t="s">
        <v>47</v>
      </c>
      <c r="G17" t="s">
        <v>343</v>
      </c>
      <c r="I17" s="7">
        <f t="shared" ref="I17:I18" si="2">M17-K17</f>
        <v>18053</v>
      </c>
      <c r="J17" s="10"/>
      <c r="K17" s="7">
        <f>IFERROR(INDEX('P&amp;L.current'!$A$1:$BW$336,$A17,#REF!),0)</f>
        <v>0</v>
      </c>
      <c r="L17" s="10"/>
      <c r="M17" s="1">
        <f>IFERROR(INDEX('P&amp;L.current'!$A$1:$CV$200,$A17,$C17),0)</f>
        <v>18053</v>
      </c>
      <c r="O17" s="1">
        <f>IFERROR(INDEX('P&amp;L.prior'!$A$1:$CV$200,$Q17,$S17),0)</f>
        <v>0</v>
      </c>
      <c r="Q17" s="93" t="e">
        <f>MATCH(R17,'P&amp;L.prior'!$B:$B,0)</f>
        <v>#N/A</v>
      </c>
      <c r="R17" s="93" t="s">
        <v>52</v>
      </c>
      <c r="S17" s="93">
        <f>INDEX('P&amp;L.prior'!$1:$1,MATCH(SOA!T17,'P&amp;L.prior'!$3:$3,0))</f>
        <v>12</v>
      </c>
      <c r="T17" s="93" t="s">
        <v>47</v>
      </c>
      <c r="V17" s="1"/>
    </row>
    <row r="18" spans="1:23" hidden="1" outlineLevel="1">
      <c r="A18" s="93" t="e">
        <f>MATCH(B18,'P&amp;L.current'!$B:$B,0)</f>
        <v>#N/A</v>
      </c>
      <c r="B18" s="93" t="s">
        <v>53</v>
      </c>
      <c r="C18" s="93">
        <f>INDEX('P&amp;L.current'!$1:$1,MATCH(SOA!D18,'P&amp;L.current'!$3:$3,0))</f>
        <v>12</v>
      </c>
      <c r="D18" s="93" t="s">
        <v>47</v>
      </c>
      <c r="G18" t="s">
        <v>344</v>
      </c>
      <c r="I18" s="7">
        <f t="shared" si="2"/>
        <v>0</v>
      </c>
      <c r="J18" s="10"/>
      <c r="K18" s="7">
        <f>IFERROR(INDEX('P&amp;L.current'!$A$1:$BW$336,$A18,#REF!),0)</f>
        <v>0</v>
      </c>
      <c r="L18" s="10"/>
      <c r="M18" s="1">
        <f>IFERROR(INDEX('P&amp;L.current'!$A$1:$CV$200,$A18,$C18),0)</f>
        <v>0</v>
      </c>
      <c r="O18" s="1">
        <f>IFERROR(INDEX('P&amp;L.prior'!$A$1:$CV$200,$Q18,$S18),0)</f>
        <v>0</v>
      </c>
      <c r="Q18" s="93" t="e">
        <f>MATCH(R18,'P&amp;L.prior'!$B:$B,0)</f>
        <v>#N/A</v>
      </c>
      <c r="R18" s="93" t="s">
        <v>53</v>
      </c>
      <c r="S18" s="93">
        <f>INDEX('P&amp;L.prior'!$1:$1,MATCH(SOA!T18,'P&amp;L.prior'!$3:$3,0))</f>
        <v>12</v>
      </c>
      <c r="T18" s="93" t="s">
        <v>47</v>
      </c>
    </row>
    <row r="19" spans="1:23" collapsed="1">
      <c r="H19" t="s">
        <v>345</v>
      </c>
      <c r="I19" s="2">
        <f>SUM(I16:I18)</f>
        <v>18053</v>
      </c>
      <c r="K19" s="2">
        <f t="shared" ref="K19:O19" si="3">SUM(K16:K18)</f>
        <v>0</v>
      </c>
      <c r="M19" s="2">
        <f t="shared" si="3"/>
        <v>18053</v>
      </c>
      <c r="O19" s="2">
        <f t="shared" si="3"/>
        <v>0</v>
      </c>
      <c r="U19" s="129"/>
    </row>
    <row r="20" spans="1:23" ht="3" customHeight="1"/>
    <row r="21" spans="1:23">
      <c r="F21" t="s">
        <v>339</v>
      </c>
      <c r="I21" s="110">
        <f>+I14+I19</f>
        <v>176459.36</v>
      </c>
      <c r="K21" s="110">
        <f>+K14+K19</f>
        <v>32304.800000000003</v>
      </c>
      <c r="M21" s="110">
        <f>+M14+M19</f>
        <v>208764.16</v>
      </c>
      <c r="O21" s="110">
        <f>+O14+O19</f>
        <v>41906.130000000005</v>
      </c>
      <c r="P21" s="3"/>
      <c r="V21" s="1"/>
    </row>
    <row r="23" spans="1:23">
      <c r="E23" t="s">
        <v>329</v>
      </c>
    </row>
    <row r="24" spans="1:23">
      <c r="F24" t="s">
        <v>56</v>
      </c>
    </row>
    <row r="25" spans="1:23">
      <c r="A25" s="93">
        <f>MATCH(B25,'P&amp;L.current'!$B:$B,0)</f>
        <v>46</v>
      </c>
      <c r="B25" s="93" t="s">
        <v>57</v>
      </c>
      <c r="C25" s="93">
        <f>INDEX('P&amp;L.current'!$1:$1,MATCH(SOA!D25,'P&amp;L.current'!$3:$3,0))</f>
        <v>9</v>
      </c>
      <c r="D25" s="93" t="s">
        <v>58</v>
      </c>
      <c r="G25" t="s">
        <v>330</v>
      </c>
      <c r="I25" s="1">
        <f t="shared" ref="I25:I27" si="4">M25-K25</f>
        <v>128685.96</v>
      </c>
      <c r="K25" s="1">
        <v>0</v>
      </c>
      <c r="M25" s="1">
        <f>SOFE.current!D24</f>
        <v>128685.96</v>
      </c>
      <c r="O25" s="1">
        <f>SOFE.prior!D24</f>
        <v>187106.96000000005</v>
      </c>
      <c r="Q25" s="93">
        <f>MATCH(R25,'P&amp;L.prior'!$B:$B,0)</f>
        <v>44</v>
      </c>
      <c r="R25" s="93" t="s">
        <v>57</v>
      </c>
      <c r="S25" s="93">
        <f>INDEX('P&amp;L.prior'!$1:$1,MATCH(SOA!T25,'P&amp;L.prior'!$3:$3,0))</f>
        <v>9</v>
      </c>
      <c r="T25" s="93" t="s">
        <v>58</v>
      </c>
      <c r="U25" s="129"/>
      <c r="V25" s="1"/>
    </row>
    <row r="26" spans="1:23">
      <c r="A26" s="93">
        <f>MATCH(B26,'P&amp;L.current'!$B:$B,0)</f>
        <v>46</v>
      </c>
      <c r="B26" s="93" t="s">
        <v>57</v>
      </c>
      <c r="C26" s="93">
        <f>INDEX('P&amp;L.current'!$1:$1,MATCH(SOA!D26,'P&amp;L.current'!$3:$3,0))</f>
        <v>10</v>
      </c>
      <c r="D26" s="93" t="s">
        <v>59</v>
      </c>
      <c r="F26" t="s">
        <v>59</v>
      </c>
      <c r="I26" s="1">
        <f t="shared" si="4"/>
        <v>2402.34</v>
      </c>
      <c r="K26" s="1">
        <v>0</v>
      </c>
      <c r="M26" s="1">
        <f>SOFE.current!E24</f>
        <v>2402.34</v>
      </c>
      <c r="O26" s="1">
        <f>SOFE.prior!E24</f>
        <v>4202.5999999999995</v>
      </c>
      <c r="Q26" s="93">
        <f>MATCH(R26,'P&amp;L.prior'!$B:$B,0)</f>
        <v>44</v>
      </c>
      <c r="R26" s="93" t="s">
        <v>57</v>
      </c>
      <c r="S26" s="93">
        <f>INDEX('P&amp;L.prior'!$1:$1,MATCH(SOA!T26,'P&amp;L.prior'!$3:$3,0))</f>
        <v>10</v>
      </c>
      <c r="T26" s="93" t="s">
        <v>59</v>
      </c>
      <c r="U26" s="129"/>
      <c r="V26" s="1"/>
    </row>
    <row r="27" spans="1:23">
      <c r="A27" s="93">
        <f>MATCH(B27,'P&amp;L.current'!$B:$B,0)</f>
        <v>46</v>
      </c>
      <c r="B27" s="93" t="s">
        <v>57</v>
      </c>
      <c r="C27" s="93">
        <f>INDEX('P&amp;L.current'!$1:$1,MATCH(SOA!D27,'P&amp;L.current'!$3:$3,0))</f>
        <v>11</v>
      </c>
      <c r="D27" s="93" t="s">
        <v>60</v>
      </c>
      <c r="F27" t="s">
        <v>331</v>
      </c>
      <c r="I27" s="1">
        <f t="shared" si="4"/>
        <v>16134.89</v>
      </c>
      <c r="K27" s="1">
        <v>0</v>
      </c>
      <c r="M27" s="1">
        <f>SOFE.current!F24</f>
        <v>16134.89</v>
      </c>
      <c r="O27" s="1">
        <f>SOFE.prior!F24</f>
        <v>25477.94</v>
      </c>
      <c r="Q27" s="93">
        <f>MATCH(R27,'P&amp;L.prior'!$B:$B,0)</f>
        <v>44</v>
      </c>
      <c r="R27" s="93" t="s">
        <v>57</v>
      </c>
      <c r="S27" s="93">
        <f>INDEX('P&amp;L.prior'!$1:$1,MATCH(SOA!T27,'P&amp;L.prior'!$3:$3,0))</f>
        <v>11</v>
      </c>
      <c r="T27" s="93" t="s">
        <v>60</v>
      </c>
      <c r="U27" s="129"/>
      <c r="V27" s="1"/>
    </row>
    <row r="28" spans="1:23">
      <c r="F28" t="s">
        <v>61</v>
      </c>
      <c r="I28" s="2">
        <f>SUM(I23:I27)</f>
        <v>147223.19</v>
      </c>
      <c r="K28" s="2">
        <f>SUM(K23:K27)</f>
        <v>0</v>
      </c>
      <c r="M28" s="2">
        <f>SUM(M23:M27)</f>
        <v>147223.19</v>
      </c>
      <c r="O28" s="2">
        <f>SUM(O24:O27)</f>
        <v>216787.50000000006</v>
      </c>
      <c r="P28" s="3"/>
      <c r="U28" s="129"/>
      <c r="V28" s="1"/>
    </row>
    <row r="29" spans="1:23" ht="3.75" customHeight="1"/>
    <row r="30" spans="1:23">
      <c r="E30" s="134" t="s">
        <v>257</v>
      </c>
      <c r="F30" s="134"/>
      <c r="G30" s="134"/>
      <c r="H30" s="134"/>
      <c r="I30" s="135">
        <f>+I21-I28</f>
        <v>29236.169999999984</v>
      </c>
      <c r="J30" s="136"/>
      <c r="K30" s="135">
        <f>+K21-K28</f>
        <v>32304.800000000003</v>
      </c>
      <c r="L30" s="136"/>
      <c r="M30" s="135">
        <f>+M21-M28</f>
        <v>61540.97</v>
      </c>
      <c r="N30" s="136"/>
      <c r="O30" s="135">
        <f>+O21-O28</f>
        <v>-174881.37000000005</v>
      </c>
      <c r="U30" s="129"/>
      <c r="W30" s="130"/>
    </row>
    <row r="31" spans="1:23">
      <c r="I31" s="4"/>
      <c r="K31" s="4"/>
      <c r="M31" s="4"/>
      <c r="O31" s="4"/>
    </row>
    <row r="32" spans="1:23">
      <c r="E32" t="s">
        <v>63</v>
      </c>
      <c r="I32" s="1">
        <v>55741</v>
      </c>
      <c r="K32" s="1">
        <v>2500</v>
      </c>
      <c r="M32" s="1">
        <f>SUM(I32:K32)</f>
        <v>58241</v>
      </c>
      <c r="O32" s="7">
        <v>233122</v>
      </c>
      <c r="R32" s="93" t="s">
        <v>39</v>
      </c>
    </row>
    <row r="33" spans="1:20" ht="14.65" thickBot="1">
      <c r="E33" t="s">
        <v>318</v>
      </c>
      <c r="I33" s="42">
        <f>SUM(I30:I32)</f>
        <v>84977.169999999984</v>
      </c>
      <c r="K33" s="42">
        <f>SUM(K30:K32)</f>
        <v>34804.800000000003</v>
      </c>
      <c r="M33" s="42">
        <f>SUM(M30:M32)</f>
        <v>119781.97</v>
      </c>
      <c r="O33" s="42">
        <f>SUM(O30:O32)</f>
        <v>58240.629999999946</v>
      </c>
      <c r="P33" s="8"/>
    </row>
    <row r="34" spans="1:20" ht="14.65" thickTop="1"/>
    <row r="35" spans="1:20" s="69" customFormat="1" hidden="1" outlineLevel="1">
      <c r="A35" s="93"/>
      <c r="B35" s="93" t="s">
        <v>40</v>
      </c>
      <c r="C35" s="93"/>
      <c r="D35" s="93"/>
      <c r="H35" s="69" t="s">
        <v>64</v>
      </c>
      <c r="I35" s="70"/>
      <c r="J35" s="76"/>
      <c r="K35" s="70"/>
      <c r="L35" s="76"/>
      <c r="M35" s="70">
        <f>INDEX(BS.current!$J:$J,MATCH(SOA!B35,BS.current!B:B,0))-M33</f>
        <v>0.11999999999534339</v>
      </c>
      <c r="N35" s="76"/>
      <c r="O35" s="70"/>
      <c r="Q35" s="93"/>
      <c r="R35" s="93"/>
      <c r="S35" s="93"/>
      <c r="T35" s="93"/>
    </row>
    <row r="36" spans="1:20" collapsed="1">
      <c r="M36" s="129">
        <f>M30/M21</f>
        <v>0.29478704582242471</v>
      </c>
    </row>
    <row r="38" spans="1:20">
      <c r="M38" s="129"/>
    </row>
  </sheetData>
  <mergeCells count="3">
    <mergeCell ref="E1:O1"/>
    <mergeCell ref="E2:O2"/>
    <mergeCell ref="E3:O3"/>
  </mergeCells>
  <phoneticPr fontId="10" type="noConversion"/>
  <printOptions horizontalCentered="1"/>
  <pageMargins left="0.75" right="0.75" top="0.75" bottom="0.75" header="0.5" footer="0.5"/>
  <pageSetup scale="84" orientation="portrait" r:id="rId1"/>
  <headerFooter>
    <oddFooter xml:space="preserve">&amp;CUnaudited - For Management Use Only&amp;RPage &amp;P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K83"/>
  <sheetViews>
    <sheetView topLeftCell="C1" workbookViewId="0">
      <selection activeCell="A65" sqref="A65"/>
    </sheetView>
  </sheetViews>
  <sheetFormatPr defaultRowHeight="14.25" outlineLevelRow="1" outlineLevelCol="1"/>
  <cols>
    <col min="1" max="1" width="5.3984375" style="93" hidden="1" customWidth="1" outlineLevel="1"/>
    <col min="2" max="2" width="36.265625" style="93" hidden="1" customWidth="1" outlineLevel="1"/>
    <col min="3" max="3" width="4.73046875" customWidth="1" collapsed="1"/>
    <col min="4" max="5" width="4.73046875" customWidth="1"/>
    <col min="6" max="6" width="60" customWidth="1"/>
    <col min="7" max="7" width="12.73046875" style="36" customWidth="1"/>
    <col min="9" max="9" width="4.86328125" style="93" hidden="1" customWidth="1" outlineLevel="1"/>
    <col min="10" max="10" width="30.265625" style="93" hidden="1" customWidth="1" outlineLevel="1"/>
    <col min="11" max="11" width="9.1328125" collapsed="1"/>
  </cols>
  <sheetData>
    <row r="1" spans="1:10">
      <c r="C1" s="211" t="str">
        <f>Cover!B1</f>
        <v>Malecare, Inc</v>
      </c>
      <c r="D1" s="211"/>
      <c r="E1" s="211"/>
      <c r="F1" s="211"/>
      <c r="G1" s="211"/>
    </row>
    <row r="2" spans="1:10">
      <c r="C2" s="211" t="s">
        <v>256</v>
      </c>
      <c r="D2" s="211"/>
      <c r="E2" s="211"/>
      <c r="F2" s="211"/>
      <c r="G2" s="211"/>
    </row>
    <row r="3" spans="1:10">
      <c r="C3" s="212" t="str">
        <f>"For the "&amp;Cover!F4&amp;" ended "&amp;Cover!E4</f>
        <v>For the 12 months ended December 31, 2018</v>
      </c>
      <c r="D3" s="211"/>
      <c r="E3" s="211"/>
      <c r="F3" s="211"/>
      <c r="G3" s="211"/>
    </row>
    <row r="5" spans="1:10">
      <c r="A5" s="93">
        <f>MATCH(B5,'BS.multi year'!$2:$2,0)</f>
        <v>16</v>
      </c>
      <c r="B5" s="101">
        <f>G5</f>
        <v>2018</v>
      </c>
      <c r="G5" s="111">
        <f>Cover!D4</f>
        <v>2018</v>
      </c>
      <c r="I5" s="93">
        <f>MATCH(J5,'BS.multi year'!$2:$2,0)</f>
        <v>15</v>
      </c>
      <c r="J5" s="101">
        <f>G5-1</f>
        <v>2017</v>
      </c>
    </row>
    <row r="6" spans="1:10">
      <c r="C6" t="s">
        <v>65</v>
      </c>
    </row>
    <row r="7" spans="1:10">
      <c r="A7" s="93">
        <f>MATCH(B7,'P&amp;L.current'!$B:$B,0)</f>
        <v>52</v>
      </c>
      <c r="B7" s="93" t="s">
        <v>66</v>
      </c>
      <c r="D7" t="s">
        <v>62</v>
      </c>
      <c r="G7" s="7">
        <f>IFERROR(INDEX('P&amp;L.current'!$A$1:$CV$200,SOCF!A7,I7),0)</f>
        <v>61540.970000000016</v>
      </c>
      <c r="I7" s="93">
        <f>MATCH(J7,'P&amp;L.current'!$3:$3,0)</f>
        <v>12</v>
      </c>
      <c r="J7" s="93" t="s">
        <v>47</v>
      </c>
    </row>
    <row r="8" spans="1:10">
      <c r="D8" t="s">
        <v>67</v>
      </c>
      <c r="G8" s="1"/>
    </row>
    <row r="9" spans="1:10">
      <c r="E9" t="s">
        <v>68</v>
      </c>
      <c r="G9" s="7">
        <f>SOFE.current!G22</f>
        <v>7587.88</v>
      </c>
      <c r="I9" s="93">
        <f>MATCH(J9,'P&amp;L.current'!$3:$3,0)</f>
        <v>12</v>
      </c>
      <c r="J9" s="93" t="s">
        <v>47</v>
      </c>
    </row>
    <row r="10" spans="1:10">
      <c r="E10" t="s">
        <v>69</v>
      </c>
      <c r="G10" s="1"/>
    </row>
    <row r="11" spans="1:10">
      <c r="A11" s="93">
        <f>MATCH(B11,'BS.multi year'!B:B,0)</f>
        <v>13</v>
      </c>
      <c r="B11" s="93" t="s">
        <v>70</v>
      </c>
      <c r="F11" t="s">
        <v>6</v>
      </c>
      <c r="G11" s="1">
        <f>IFERROR(INDEX('BS.multi year'!$A$1:$T$100,SOCF!A11,SOCF!$I$5),0)-IFERROR(INDEX('BS.multi year'!$A$1:$T$100,SOCF!A11,SOCF!$A$5),0)</f>
        <v>-18918.050000000003</v>
      </c>
      <c r="I11" s="93">
        <f>MATCH(J11,'BS.multi year'!$B:$B,0)</f>
        <v>13</v>
      </c>
      <c r="J11" s="93" t="s">
        <v>70</v>
      </c>
    </row>
    <row r="12" spans="1:10" hidden="1" outlineLevel="1">
      <c r="A12" s="93">
        <f>MATCH(B12,'BS.multi year'!B:B,0)</f>
        <v>16</v>
      </c>
      <c r="B12" s="93" t="s">
        <v>9</v>
      </c>
      <c r="F12" t="s">
        <v>10</v>
      </c>
      <c r="G12" s="1">
        <f>IFERROR(INDEX('BS.multi year'!$A$1:$T$100,SOCF!A12,SOCF!$I$5),0)-IFERROR(INDEX('BS.multi year'!$A$1:$T$100,SOCF!A12,SOCF!$A$5),0)</f>
        <v>0</v>
      </c>
      <c r="I12" s="93">
        <f>MATCH(J12,'BS.multi year'!$B:$B,0)</f>
        <v>16</v>
      </c>
      <c r="J12" s="93" t="s">
        <v>9</v>
      </c>
    </row>
    <row r="13" spans="1:10" hidden="1" outlineLevel="1">
      <c r="A13" s="93">
        <f>MATCH(B13,'BS.multi year'!B:B,0)</f>
        <v>28</v>
      </c>
      <c r="B13" s="93" t="s">
        <v>11</v>
      </c>
      <c r="F13" t="s">
        <v>71</v>
      </c>
      <c r="G13" s="1">
        <f>IFERROR(INDEX('BS.multi year'!$A$1:$T$100,SOCF!A13,SOCF!$I$5),0)-IFERROR(INDEX('BS.multi year'!$A$1:$T$100,SOCF!A13,SOCF!$A$5),0)</f>
        <v>0</v>
      </c>
      <c r="I13" s="93">
        <f>MATCH(J13,'BS.multi year'!$B:$B,0)</f>
        <v>28</v>
      </c>
      <c r="J13" s="93" t="s">
        <v>11</v>
      </c>
    </row>
    <row r="14" spans="1:10" hidden="1" outlineLevel="1">
      <c r="A14" s="93">
        <f>MATCH(B14,'BS.multi year'!B:B,0)</f>
        <v>17</v>
      </c>
      <c r="B14" s="93" t="s">
        <v>7</v>
      </c>
      <c r="F14" t="s">
        <v>183</v>
      </c>
      <c r="G14" s="1">
        <f>IFERROR(INDEX('BS.multi year'!$A$1:$T$100,SOCF!A14,SOCF!$I$5),0)-IFERROR(INDEX('BS.multi year'!$A$1:$T$100,SOCF!A14,SOCF!$A$5),0)</f>
        <v>0</v>
      </c>
      <c r="I14" s="93">
        <f>MATCH(J14,'BS.multi year'!$B:$B,0)</f>
        <v>17</v>
      </c>
      <c r="J14" s="93" t="s">
        <v>7</v>
      </c>
    </row>
    <row r="15" spans="1:10" hidden="1" outlineLevel="1">
      <c r="A15" s="93">
        <f>MATCH(B15,'BS.multi year'!B:B,0)</f>
        <v>36</v>
      </c>
      <c r="B15" s="93" t="s">
        <v>23</v>
      </c>
      <c r="F15" t="s">
        <v>24</v>
      </c>
      <c r="G15" s="1">
        <f>IFERROR(INDEX('BS.multi year'!$A$1:$T$100,SOCF!A15,SOCF!$A$5),0)-IFERROR(INDEX('BS.multi year'!$A$1:$T$100,SOCF!A15,SOCF!$I$5),0)</f>
        <v>0</v>
      </c>
      <c r="I15" s="93">
        <f>MATCH(J15,'BS.multi year'!$B:$B,0)</f>
        <v>36</v>
      </c>
      <c r="J15" s="93" t="s">
        <v>23</v>
      </c>
    </row>
    <row r="16" spans="1:10" hidden="1" outlineLevel="1">
      <c r="A16" s="93" t="e">
        <f>MATCH(B16,'BS.multi year'!B:B,0)</f>
        <v>#N/A</v>
      </c>
      <c r="B16" s="93" t="s">
        <v>25</v>
      </c>
      <c r="F16" t="s">
        <v>72</v>
      </c>
      <c r="G16" s="1">
        <f>IFERROR(INDEX('BS.multi year'!$A$1:$T$100,SOCF!A16,SOCF!$A$5),0)-IFERROR(INDEX('BS.multi year'!$A$1:$T$100,SOCF!A16,SOCF!$I$5),0)</f>
        <v>0</v>
      </c>
      <c r="I16" s="93" t="e">
        <f>MATCH(J16,'BS.multi year'!$B:$B,0)</f>
        <v>#N/A</v>
      </c>
      <c r="J16" s="93" t="s">
        <v>25</v>
      </c>
    </row>
    <row r="17" spans="1:10" collapsed="1">
      <c r="A17" s="93">
        <f>MATCH(B17,'BS.multi year'!B:B,0)</f>
        <v>43</v>
      </c>
      <c r="B17" s="93" t="s">
        <v>27</v>
      </c>
      <c r="F17" t="s">
        <v>28</v>
      </c>
      <c r="G17" s="1">
        <f>IFERROR(INDEX('BS.multi year'!$A$1:$T$100,SOCF!A17,SOCF!$A$5),0)-IFERROR(INDEX('BS.multi year'!$A$1:$T$100,SOCF!A17,SOCF!$I$5),0)</f>
        <v>11537.119999999999</v>
      </c>
      <c r="I17" s="93">
        <f>MATCH(J17,'BS.multi year'!$B:$B,0)</f>
        <v>43</v>
      </c>
      <c r="J17" s="93" t="s">
        <v>27</v>
      </c>
    </row>
    <row r="18" spans="1:10" ht="15.75" customHeight="1">
      <c r="A18" s="93">
        <f>MATCH(B18,'BS.multi year'!B:B,0)</f>
        <v>42</v>
      </c>
      <c r="B18" s="93" t="s">
        <v>203</v>
      </c>
      <c r="F18" t="s">
        <v>30</v>
      </c>
      <c r="G18" s="1">
        <f>IFERROR(INDEX('BS.multi year'!$A$1:$T$100,SOCF!A18,SOCF!$A$5),0)-IFERROR(INDEX('BS.multi year'!$A$1:$T$100,SOCF!A18,SOCF!$I$5),0)</f>
        <v>0</v>
      </c>
      <c r="I18" s="93">
        <f>MATCH(J18,'BS.multi year'!$B:$B,0)</f>
        <v>42</v>
      </c>
      <c r="J18" s="93" t="s">
        <v>203</v>
      </c>
    </row>
    <row r="19" spans="1:10" ht="3.75" customHeight="1">
      <c r="G19" s="1"/>
    </row>
    <row r="20" spans="1:10">
      <c r="E20" t="s">
        <v>73</v>
      </c>
      <c r="G20" s="2">
        <f>SUM(G7:G19)</f>
        <v>61747.920000000013</v>
      </c>
    </row>
    <row r="21" spans="1:10">
      <c r="G21" s="1"/>
    </row>
    <row r="22" spans="1:10">
      <c r="C22" t="s">
        <v>74</v>
      </c>
      <c r="G22" s="1"/>
    </row>
    <row r="23" spans="1:10">
      <c r="A23" s="93">
        <f>MATCH(B23,'BS.multi year'!B:B,0)</f>
        <v>21</v>
      </c>
      <c r="B23" s="93" t="s">
        <v>201</v>
      </c>
      <c r="D23" s="9" t="s">
        <v>14</v>
      </c>
      <c r="E23" s="9"/>
      <c r="F23" s="9"/>
      <c r="G23" s="1">
        <f>IFERROR(INDEX('BS.multi year'!$A$1:$T$100,SOCF!A23,SOCF!$I$5),0)-IFERROR(INDEX('BS.multi year'!$A$1:$T$100,SOCF!A23,SOCF!$A$5),0)</f>
        <v>-2594.81</v>
      </c>
      <c r="I23" s="93">
        <f>MATCH(J23,'BS.multi year'!$B:$B,0)</f>
        <v>23</v>
      </c>
      <c r="J23" s="93" t="s">
        <v>207</v>
      </c>
    </row>
    <row r="24" spans="1:10" hidden="1" outlineLevel="1">
      <c r="A24" s="93">
        <f>MATCH(B24,'BS.multi year'!B:B,0)</f>
        <v>24</v>
      </c>
      <c r="B24" s="93" t="s">
        <v>208</v>
      </c>
      <c r="D24" s="9" t="s">
        <v>220</v>
      </c>
      <c r="E24" s="9"/>
      <c r="F24" s="9"/>
      <c r="G24" s="1">
        <f>IFERROR(INDEX('BS.multi year'!$A$1:$T$100,SOCF!A24,SOCF!$I$5),0)-IFERROR(INDEX('BS.multi year'!$A$1:$T$100,SOCF!A24,SOCF!$A$5),0)</f>
        <v>0</v>
      </c>
      <c r="I24" s="93">
        <f>MATCH(J24,'BS.multi year'!$B:$B,0)</f>
        <v>24</v>
      </c>
      <c r="J24" s="93" t="s">
        <v>208</v>
      </c>
    </row>
    <row r="25" spans="1:10" hidden="1" outlineLevel="1">
      <c r="D25" s="9" t="s">
        <v>75</v>
      </c>
      <c r="E25" s="9"/>
      <c r="F25" s="9"/>
      <c r="G25" s="1">
        <f>IFERROR(INDEX('BS.multi year'!J:J,MATCH(SOCF!B25,'BS.multi year'!B:B,0)),0)-IFERROR(INDEX(BS.current!J:J,MATCH(SOCF!B25,BS.current!B:B,0)),0)</f>
        <v>0</v>
      </c>
    </row>
    <row r="26" spans="1:10" ht="3.75" hidden="1" customHeight="1" outlineLevel="1">
      <c r="G26" s="1"/>
    </row>
    <row r="27" spans="1:10" ht="15.75" customHeight="1" collapsed="1">
      <c r="E27" t="s">
        <v>76</v>
      </c>
      <c r="G27" s="2">
        <f>SUM(G22:G26)</f>
        <v>-2594.81</v>
      </c>
    </row>
    <row r="28" spans="1:10">
      <c r="G28" s="1"/>
    </row>
    <row r="29" spans="1:10" hidden="1" outlineLevel="1">
      <c r="C29" t="s">
        <v>77</v>
      </c>
      <c r="G29" s="1"/>
    </row>
    <row r="30" spans="1:10" hidden="1" outlineLevel="1">
      <c r="D30" t="s">
        <v>78</v>
      </c>
      <c r="G30" s="1">
        <v>0</v>
      </c>
    </row>
    <row r="31" spans="1:10" hidden="1" outlineLevel="1">
      <c r="D31" t="s">
        <v>79</v>
      </c>
      <c r="G31" s="1">
        <v>0</v>
      </c>
    </row>
    <row r="32" spans="1:10" hidden="1" outlineLevel="1">
      <c r="D32" t="s">
        <v>80</v>
      </c>
      <c r="G32" s="1">
        <v>0</v>
      </c>
    </row>
    <row r="33" spans="1:9" hidden="1" outlineLevel="1">
      <c r="G33" s="1"/>
    </row>
    <row r="34" spans="1:9" hidden="1" outlineLevel="1" collapsed="1">
      <c r="E34" t="s">
        <v>81</v>
      </c>
      <c r="G34" s="2">
        <f>SUM(G29:G33)</f>
        <v>0</v>
      </c>
    </row>
    <row r="35" spans="1:9" collapsed="1">
      <c r="G35" s="1"/>
    </row>
    <row r="36" spans="1:9">
      <c r="C36" t="s">
        <v>82</v>
      </c>
      <c r="G36" s="4">
        <f>+G20+G27+G34</f>
        <v>59153.110000000015</v>
      </c>
    </row>
    <row r="37" spans="1:9">
      <c r="A37" s="93">
        <f>MATCH(B37,'BS.multi year'!B:B,0)</f>
        <v>11</v>
      </c>
      <c r="B37" s="93" t="s">
        <v>3</v>
      </c>
      <c r="C37" t="s">
        <v>83</v>
      </c>
      <c r="G37" s="1">
        <f>IFERROR(INDEX('BS.multi year'!$A$1:$U$100,SOCF!A37,SOCF!I5),0)+IFERROR(INDEX('BS.multi year'!$A$1:$T$100,SOCF!A38,SOCF!I5),0)</f>
        <v>12321.73</v>
      </c>
      <c r="I37" s="116">
        <f>G37-SOFP!H8</f>
        <v>0</v>
      </c>
    </row>
    <row r="38" spans="1:9" ht="14.65" thickBot="1">
      <c r="A38" s="93" t="e">
        <f>MATCH(B38,'BS.multi year'!B:B,0)</f>
        <v>#N/A</v>
      </c>
      <c r="C38" t="s">
        <v>319</v>
      </c>
      <c r="G38" s="42">
        <f>SUM(G36:G37)</f>
        <v>71474.840000000011</v>
      </c>
      <c r="I38" s="116">
        <f>G38-SOFP!F8</f>
        <v>0</v>
      </c>
    </row>
    <row r="39" spans="1:9" ht="14.65" thickTop="1">
      <c r="G39" s="1"/>
    </row>
    <row r="40" spans="1:9" hidden="1" outlineLevel="1">
      <c r="C40" t="s">
        <v>84</v>
      </c>
      <c r="G40" s="1"/>
    </row>
    <row r="41" spans="1:9" ht="14.65" hidden="1" outlineLevel="1" thickBot="1">
      <c r="D41" t="s">
        <v>85</v>
      </c>
      <c r="G41" s="43"/>
    </row>
    <row r="42" spans="1:9" ht="14.65" hidden="1" outlineLevel="1" thickTop="1">
      <c r="G42" s="1"/>
    </row>
    <row r="43" spans="1:9" hidden="1" outlineLevel="1">
      <c r="C43" s="69" t="s">
        <v>181</v>
      </c>
      <c r="D43" s="69"/>
      <c r="E43" s="69"/>
      <c r="F43" s="69" t="s">
        <v>182</v>
      </c>
      <c r="G43" s="103">
        <f>SOFP!F10</f>
        <v>71474.84</v>
      </c>
    </row>
    <row r="44" spans="1:9" hidden="1" outlineLevel="1">
      <c r="G44" s="70">
        <f>G43-G38</f>
        <v>0</v>
      </c>
    </row>
    <row r="45" spans="1:9" hidden="1" outlineLevel="1">
      <c r="G45" s="1"/>
    </row>
    <row r="46" spans="1:9" collapsed="1">
      <c r="G46" s="1"/>
    </row>
    <row r="47" spans="1:9">
      <c r="G47" s="1"/>
    </row>
    <row r="48" spans="1:9">
      <c r="G48" s="1"/>
    </row>
    <row r="49" spans="7:7">
      <c r="G49" s="1"/>
    </row>
    <row r="50" spans="7:7">
      <c r="G50" s="1"/>
    </row>
    <row r="51" spans="7:7">
      <c r="G51" s="1"/>
    </row>
    <row r="52" spans="7:7">
      <c r="G52" s="1"/>
    </row>
    <row r="53" spans="7:7">
      <c r="G53" s="1"/>
    </row>
    <row r="54" spans="7:7">
      <c r="G54" s="1"/>
    </row>
    <row r="55" spans="7:7">
      <c r="G55" s="1"/>
    </row>
    <row r="56" spans="7:7">
      <c r="G56" s="1"/>
    </row>
    <row r="57" spans="7:7">
      <c r="G57" s="1"/>
    </row>
    <row r="58" spans="7:7">
      <c r="G58" s="1"/>
    </row>
    <row r="59" spans="7:7">
      <c r="G59" s="1"/>
    </row>
    <row r="60" spans="7:7">
      <c r="G60" s="1"/>
    </row>
    <row r="61" spans="7:7">
      <c r="G61" s="1"/>
    </row>
    <row r="62" spans="7:7">
      <c r="G62" s="1"/>
    </row>
    <row r="63" spans="7:7">
      <c r="G63" s="1"/>
    </row>
    <row r="64" spans="7:7">
      <c r="G64" s="1"/>
    </row>
    <row r="65" spans="7:7">
      <c r="G65" s="1"/>
    </row>
    <row r="66" spans="7:7">
      <c r="G66" s="1"/>
    </row>
    <row r="67" spans="7:7">
      <c r="G67" s="1"/>
    </row>
    <row r="68" spans="7:7">
      <c r="G68" s="1"/>
    </row>
    <row r="69" spans="7:7">
      <c r="G69" s="1"/>
    </row>
    <row r="70" spans="7:7">
      <c r="G70" s="1"/>
    </row>
    <row r="71" spans="7:7">
      <c r="G71" s="1"/>
    </row>
    <row r="72" spans="7:7">
      <c r="G72" s="1"/>
    </row>
    <row r="73" spans="7:7">
      <c r="G73" s="1"/>
    </row>
    <row r="74" spans="7:7">
      <c r="G74" s="1"/>
    </row>
    <row r="75" spans="7:7">
      <c r="G75" s="1"/>
    </row>
    <row r="76" spans="7:7">
      <c r="G76" s="1"/>
    </row>
    <row r="77" spans="7:7">
      <c r="G77" s="1"/>
    </row>
    <row r="78" spans="7:7">
      <c r="G78" s="1"/>
    </row>
    <row r="79" spans="7:7">
      <c r="G79" s="1"/>
    </row>
    <row r="80" spans="7:7">
      <c r="G80" s="1"/>
    </row>
    <row r="81" spans="7:7">
      <c r="G81" s="1"/>
    </row>
    <row r="82" spans="7:7">
      <c r="G82" s="1"/>
    </row>
    <row r="83" spans="7:7">
      <c r="G83" s="1"/>
    </row>
  </sheetData>
  <mergeCells count="3">
    <mergeCell ref="C1:G1"/>
    <mergeCell ref="C2:G2"/>
    <mergeCell ref="C3:G3"/>
  </mergeCells>
  <phoneticPr fontId="10" type="noConversion"/>
  <printOptions horizontalCentered="1"/>
  <pageMargins left="0.75" right="0.75" top="0.75" bottom="0.75" header="0.5" footer="0.5"/>
  <pageSetup orientation="portrait" r:id="rId1"/>
  <headerFooter>
    <oddFooter>&amp;CUnaudited - For Management Use Only&amp;RPage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J35"/>
  <sheetViews>
    <sheetView topLeftCell="C1" zoomScaleNormal="100" workbookViewId="0">
      <selection activeCell="C28" sqref="C28"/>
    </sheetView>
  </sheetViews>
  <sheetFormatPr defaultRowHeight="14.25" outlineLevelRow="1" outlineLevelCol="1"/>
  <cols>
    <col min="1" max="1" width="9.1328125" style="93" hidden="1" customWidth="1" outlineLevel="1"/>
    <col min="2" max="2" width="37" style="93" hidden="1" customWidth="1" outlineLevel="1"/>
    <col min="3" max="3" width="28.3984375" bestFit="1" customWidth="1" collapsed="1"/>
    <col min="4" max="6" width="18.1328125" customWidth="1"/>
    <col min="7" max="7" width="18.1328125" style="6" customWidth="1"/>
    <col min="8" max="8" width="2.59765625" customWidth="1"/>
  </cols>
  <sheetData>
    <row r="1" spans="1:10">
      <c r="C1" s="211" t="str">
        <f>Cover!B1</f>
        <v>Malecare, Inc</v>
      </c>
      <c r="D1" s="211"/>
      <c r="E1" s="211"/>
      <c r="F1" s="211"/>
      <c r="G1" s="211"/>
    </row>
    <row r="2" spans="1:10">
      <c r="C2" s="210" t="s">
        <v>86</v>
      </c>
      <c r="D2" s="210"/>
      <c r="E2" s="210"/>
      <c r="F2" s="210"/>
      <c r="G2" s="210"/>
    </row>
    <row r="3" spans="1:10">
      <c r="C3" s="210" t="str">
        <f>"For the "&amp;Cover!F4&amp;" ended "&amp;Cover!E4</f>
        <v>For the 12 months ended December 31, 2018</v>
      </c>
      <c r="D3" s="210"/>
      <c r="E3" s="210"/>
      <c r="F3" s="210"/>
      <c r="G3" s="210"/>
    </row>
    <row r="5" spans="1:10">
      <c r="C5" s="137"/>
      <c r="D5" s="112" t="s">
        <v>87</v>
      </c>
      <c r="E5" s="213" t="s">
        <v>88</v>
      </c>
      <c r="F5" s="213"/>
      <c r="G5" s="112">
        <f>Cover!D4</f>
        <v>2018</v>
      </c>
    </row>
    <row r="6" spans="1:10" s="93" customFormat="1" ht="14.25" hidden="1" customHeight="1" outlineLevel="1">
      <c r="C6" s="94"/>
      <c r="D6" s="94">
        <f>MATCH(D7,'P&amp;L.current'!$3:$3,0)</f>
        <v>9</v>
      </c>
      <c r="E6" s="94">
        <f>MATCH(E7,'P&amp;L.current'!$3:$3,0)</f>
        <v>10</v>
      </c>
      <c r="F6" s="94">
        <f>MATCH(F7,'P&amp;L.current'!$3:$3,0)</f>
        <v>11</v>
      </c>
      <c r="G6" s="94">
        <f>MATCH(G7,'P&amp;L.current'!$3:$3,0)</f>
        <v>12</v>
      </c>
    </row>
    <row r="7" spans="1:10" s="93" customFormat="1" ht="14.25" hidden="1" customHeight="1" outlineLevel="1">
      <c r="C7" s="94"/>
      <c r="D7" s="94" t="s">
        <v>58</v>
      </c>
      <c r="E7" s="94" t="s">
        <v>59</v>
      </c>
      <c r="F7" s="94" t="s">
        <v>60</v>
      </c>
      <c r="G7" s="94" t="s">
        <v>47</v>
      </c>
    </row>
    <row r="8" spans="1:10" collapsed="1">
      <c r="C8" s="97"/>
      <c r="D8" s="97" t="s">
        <v>58</v>
      </c>
      <c r="E8" s="98" t="s">
        <v>59</v>
      </c>
      <c r="F8" s="71" t="s">
        <v>60</v>
      </c>
      <c r="G8" s="71" t="s">
        <v>47</v>
      </c>
    </row>
    <row r="9" spans="1:10">
      <c r="A9" s="93">
        <f>MATCH(B9,'P&amp;L.current'!$B:$B,0)</f>
        <v>19</v>
      </c>
      <c r="B9" s="93" t="s">
        <v>194</v>
      </c>
      <c r="C9" s="72" t="s">
        <v>338</v>
      </c>
      <c r="D9" s="72">
        <f>IFERROR(INDEX('P&amp;L.current'!$A$1:$CJ$201,$A9,D$6),0)</f>
        <v>76240.88</v>
      </c>
      <c r="E9" s="72">
        <f>IFERROR(INDEX('P&amp;L.current'!$A$1:$CJ$201,$A9,E$6),0)</f>
        <v>1694.26</v>
      </c>
      <c r="F9" s="72">
        <f>IFERROR(INDEX('P&amp;L.current'!$A$1:$CJ$201,$A9,F$6),0)</f>
        <v>6698.76</v>
      </c>
      <c r="G9" s="72">
        <f>SUM(D9:F9)</f>
        <v>84633.9</v>
      </c>
      <c r="I9" s="130"/>
      <c r="J9" s="1"/>
    </row>
    <row r="10" spans="1:10">
      <c r="A10" s="93">
        <f>MATCH(B10,'P&amp;L.current'!$B:$B,0)</f>
        <v>23</v>
      </c>
      <c r="B10" s="93" t="s">
        <v>89</v>
      </c>
      <c r="C10" s="72" t="s">
        <v>90</v>
      </c>
      <c r="D10" s="72">
        <f>IFERROR(INDEX('P&amp;L.current'!$A$1:$CJ$201,$A10,D$6),0)</f>
        <v>13984.5</v>
      </c>
      <c r="E10" s="72">
        <f>IFERROR(INDEX('P&amp;L.current'!$A$1:$CJ$201,$A10,E$6),0)</f>
        <v>309</v>
      </c>
      <c r="F10" s="72">
        <f>IFERROR(INDEX('P&amp;L.current'!$A$1:$CJ$201,$A10,F$6),0)</f>
        <v>2064.48</v>
      </c>
      <c r="G10" s="72">
        <f>SUM(D10:F10)</f>
        <v>16357.98</v>
      </c>
      <c r="I10" s="130"/>
      <c r="J10" s="1"/>
    </row>
    <row r="11" spans="1:10">
      <c r="A11" s="93">
        <f>MATCH(B11,'P&amp;L.current'!$B:$B,0)</f>
        <v>26</v>
      </c>
      <c r="B11" s="93" t="s">
        <v>91</v>
      </c>
      <c r="C11" s="72" t="s">
        <v>92</v>
      </c>
      <c r="D11" s="72">
        <f>IFERROR(INDEX('P&amp;L.current'!$A$1:$CJ$201,$A11,D$6),0)</f>
        <v>0</v>
      </c>
      <c r="E11" s="72">
        <f>IFERROR(INDEX('P&amp;L.current'!$A$1:$CJ$201,$A11,E$6),0)</f>
        <v>0</v>
      </c>
      <c r="F11" s="72">
        <f>IFERROR(INDEX('P&amp;L.current'!$A$1:$CJ$201,$A11,F$6),0)</f>
        <v>878</v>
      </c>
      <c r="G11" s="72">
        <f t="shared" ref="G11:G22" si="0">SUM(D11:F11)</f>
        <v>878</v>
      </c>
      <c r="I11" s="130"/>
      <c r="J11" s="1"/>
    </row>
    <row r="12" spans="1:10">
      <c r="A12" s="93">
        <f>MATCH(B12,'P&amp;L.current'!$B:$B,0)</f>
        <v>31</v>
      </c>
      <c r="B12" s="93" t="s">
        <v>93</v>
      </c>
      <c r="C12" s="72" t="s">
        <v>94</v>
      </c>
      <c r="D12" s="72">
        <f>IFERROR(INDEX('P&amp;L.current'!$A$1:$CJ$201,$A12,D$6),0)</f>
        <v>730.11</v>
      </c>
      <c r="E12" s="72">
        <f>IFERROR(INDEX('P&amp;L.current'!$A$1:$CJ$201,$A12,E$6),0)</f>
        <v>0</v>
      </c>
      <c r="F12" s="72">
        <f>IFERROR(INDEX('P&amp;L.current'!$A$1:$CJ$201,$A12,F$6),0)</f>
        <v>4292.5</v>
      </c>
      <c r="G12" s="72">
        <f t="shared" si="0"/>
        <v>5022.6099999999997</v>
      </c>
      <c r="I12" s="130"/>
      <c r="J12" s="1"/>
    </row>
    <row r="13" spans="1:10">
      <c r="A13" s="93">
        <f>MATCH(B13,'P&amp;L.current'!$B:$B,0)</f>
        <v>40</v>
      </c>
      <c r="B13" s="93" t="s">
        <v>95</v>
      </c>
      <c r="C13" s="72" t="s">
        <v>332</v>
      </c>
      <c r="D13" s="72">
        <f>IFERROR(INDEX('P&amp;L.current'!$A$1:$CJ$201,$A13,D$6),0)</f>
        <v>1338.66</v>
      </c>
      <c r="E13" s="72">
        <f>IFERROR(INDEX('P&amp;L.current'!$A$1:$CJ$201,$A13,E$6),0)</f>
        <v>0</v>
      </c>
      <c r="F13" s="72">
        <f>IFERROR(INDEX('P&amp;L.current'!$A$1:$CJ$201,$A13,F$6),0)</f>
        <v>2089.16</v>
      </c>
      <c r="G13" s="72">
        <f t="shared" si="0"/>
        <v>3427.8199999999997</v>
      </c>
      <c r="I13" s="130"/>
      <c r="J13" s="1"/>
    </row>
    <row r="14" spans="1:10">
      <c r="A14" s="93">
        <f>MATCH(B14,'P&amp;L.current'!$B:$B,0)</f>
        <v>41</v>
      </c>
      <c r="B14" s="93" t="s">
        <v>96</v>
      </c>
      <c r="C14" s="72" t="s">
        <v>97</v>
      </c>
      <c r="D14" s="72">
        <f>IFERROR(INDEX('P&amp;L.current'!$A$1:$CJ$201,$A14,D$6),0)</f>
        <v>725</v>
      </c>
      <c r="E14" s="72">
        <f>IFERROR(INDEX('P&amp;L.current'!$A$1:$CJ$201,$A14,E$6),0)</f>
        <v>0</v>
      </c>
      <c r="F14" s="72">
        <f>IFERROR(INDEX('P&amp;L.current'!$A$1:$CJ$201,$A14,F$6),0)</f>
        <v>0</v>
      </c>
      <c r="G14" s="72">
        <f t="shared" si="0"/>
        <v>725</v>
      </c>
      <c r="I14" s="130"/>
      <c r="J14" s="1"/>
    </row>
    <row r="15" spans="1:10">
      <c r="A15" s="93" t="e">
        <f>MATCH(B15,'P&amp;L.current'!$B:$B,0)</f>
        <v>#N/A</v>
      </c>
      <c r="B15" s="93" t="s">
        <v>179</v>
      </c>
      <c r="C15" s="72" t="s">
        <v>180</v>
      </c>
      <c r="D15" s="72">
        <f>IFERROR(INDEX('P&amp;L.current'!$A$1:$CJ$201,$A15,D$6),0)</f>
        <v>0</v>
      </c>
      <c r="E15" s="72">
        <f>IFERROR(INDEX('P&amp;L.current'!$A$1:$CJ$201,$A15,E$6),0)</f>
        <v>0</v>
      </c>
      <c r="F15" s="72">
        <f>IFERROR(INDEX('P&amp;L.current'!$A$1:$CJ$201,$A15,F$6),0)</f>
        <v>0</v>
      </c>
      <c r="G15" s="72">
        <f t="shared" ref="G15" si="1">SUM(D15:F15)</f>
        <v>0</v>
      </c>
      <c r="I15" s="130"/>
      <c r="J15" s="1"/>
    </row>
    <row r="16" spans="1:10">
      <c r="A16" s="93">
        <f>MATCH(B16,'P&amp;L.current'!$B:$B,0)</f>
        <v>42</v>
      </c>
      <c r="B16" s="93" t="s">
        <v>98</v>
      </c>
      <c r="C16" s="72" t="s">
        <v>99</v>
      </c>
      <c r="D16" s="72">
        <f>IFERROR(INDEX('P&amp;L.current'!$A$1:$CJ$201,$A16,D$6),0)</f>
        <v>2458.66</v>
      </c>
      <c r="E16" s="72">
        <f>IFERROR(INDEX('P&amp;L.current'!$A$1:$CJ$201,$A16,E$6),0)</f>
        <v>0</v>
      </c>
      <c r="F16" s="72">
        <f>IFERROR(INDEX('P&amp;L.current'!$A$1:$CJ$201,$A16,F$6),0)</f>
        <v>0</v>
      </c>
      <c r="G16" s="72">
        <f t="shared" si="0"/>
        <v>2458.66</v>
      </c>
      <c r="I16" s="130"/>
      <c r="J16" s="1"/>
    </row>
    <row r="17" spans="1:10">
      <c r="A17" s="93">
        <f>MATCH(B17,'P&amp;L.current'!$B:$B,0)</f>
        <v>43</v>
      </c>
      <c r="B17" s="93" t="s">
        <v>100</v>
      </c>
      <c r="C17" s="72" t="s">
        <v>333</v>
      </c>
      <c r="D17" s="72">
        <f>IFERROR(INDEX('P&amp;L.current'!$A$1:$CJ$201,$A17,D$6),0)</f>
        <v>957.22</v>
      </c>
      <c r="E17" s="72">
        <f>IFERROR(INDEX('P&amp;L.current'!$A$1:$CJ$201,$A17,E$6),0)</f>
        <v>399.08</v>
      </c>
      <c r="F17" s="72">
        <f>IFERROR(INDEX('P&amp;L.current'!$A$1:$CJ$201,$A17,F$6),0)</f>
        <v>0</v>
      </c>
      <c r="G17" s="72">
        <f t="shared" si="0"/>
        <v>1356.3</v>
      </c>
      <c r="I17" s="130"/>
      <c r="J17" s="1"/>
    </row>
    <row r="18" spans="1:10">
      <c r="A18" s="93">
        <f>MATCH(B18,'P&amp;L.current'!$B:$B,0)</f>
        <v>44</v>
      </c>
      <c r="B18" s="93" t="s">
        <v>101</v>
      </c>
      <c r="C18" s="72" t="s">
        <v>334</v>
      </c>
      <c r="D18" s="72">
        <f>IFERROR(INDEX('P&amp;L.current'!$A$1:$CJ$201,$A18,D$6),0)</f>
        <v>24578.51</v>
      </c>
      <c r="E18" s="72">
        <f>IFERROR(INDEX('P&amp;L.current'!$A$1:$CJ$201,$A18,E$6),0)</f>
        <v>0</v>
      </c>
      <c r="F18" s="72">
        <f>IFERROR(INDEX('P&amp;L.current'!$A$1:$CJ$201,$A18,F$6),0)</f>
        <v>111.99</v>
      </c>
      <c r="G18" s="72">
        <f t="shared" si="0"/>
        <v>24690.5</v>
      </c>
      <c r="I18" s="130"/>
      <c r="J18" s="1"/>
    </row>
    <row r="19" spans="1:10">
      <c r="A19" s="93" t="e">
        <f>MATCH(B19,'P&amp;L.current'!$B:$B,0)</f>
        <v>#N/A</v>
      </c>
      <c r="B19" s="93" t="s">
        <v>102</v>
      </c>
      <c r="C19" s="72" t="s">
        <v>335</v>
      </c>
      <c r="D19" s="72">
        <f>IFERROR(INDEX('P&amp;L.current'!$A$1:$CJ$201,$A19,D$6),0)</f>
        <v>0</v>
      </c>
      <c r="E19" s="72">
        <f>IFERROR(INDEX('P&amp;L.current'!$A$1:$CJ$201,$A19,E$6),0)</f>
        <v>0</v>
      </c>
      <c r="F19" s="72">
        <f>IFERROR(INDEX('P&amp;L.current'!$A$1:$CJ$201,$A19,F$6),0)</f>
        <v>0</v>
      </c>
      <c r="G19" s="72">
        <f t="shared" ref="G19" si="2">SUM(D19:F19)</f>
        <v>0</v>
      </c>
      <c r="I19" s="130"/>
      <c r="J19" s="1"/>
    </row>
    <row r="20" spans="1:10">
      <c r="A20" s="93">
        <f>MATCH(B20,'P&amp;L.current'!$B:$B,0)</f>
        <v>45</v>
      </c>
      <c r="B20" s="93" t="s">
        <v>223</v>
      </c>
      <c r="C20" s="72" t="s">
        <v>336</v>
      </c>
      <c r="D20" s="72">
        <f>IFERROR(INDEX('P&amp;L.current'!$A$1:$CJ$201,$A20,D$6),0)</f>
        <v>84.54</v>
      </c>
      <c r="E20" s="72">
        <f>IFERROR(INDEX('P&amp;L.current'!$A$1:$CJ$201,$A20,E$6),0)</f>
        <v>0</v>
      </c>
      <c r="F20" s="72">
        <f>IFERROR(INDEX('P&amp;L.current'!$A$1:$CJ$201,$A20,F$6),0)</f>
        <v>0</v>
      </c>
      <c r="G20" s="72">
        <f t="shared" ref="G20" si="3">SUM(D20:F20)</f>
        <v>84.54</v>
      </c>
      <c r="I20" s="130"/>
      <c r="J20" s="1"/>
    </row>
    <row r="21" spans="1:10">
      <c r="A21" s="93" t="e">
        <f>MATCH(B21,'P&amp;L.current'!$B:$B,0)</f>
        <v>#N/A</v>
      </c>
      <c r="B21" s="93" t="s">
        <v>185</v>
      </c>
      <c r="C21" s="72" t="s">
        <v>186</v>
      </c>
      <c r="D21" s="72">
        <f>IFERROR(INDEX('P&amp;L.current'!$A$1:$CJ$201,$A21,D$6),0)</f>
        <v>0</v>
      </c>
      <c r="E21" s="72">
        <f>IFERROR(INDEX('P&amp;L.current'!$A$1:$CJ$201,$A21,E$6),0)</f>
        <v>0</v>
      </c>
      <c r="F21" s="72">
        <f>IFERROR(INDEX('P&amp;L.current'!$A$1:$CJ$201,$A21,F$6),0)</f>
        <v>0</v>
      </c>
      <c r="G21" s="72">
        <f t="shared" ref="G21" si="4">SUM(D21:F21)</f>
        <v>0</v>
      </c>
      <c r="I21" s="130"/>
      <c r="J21" s="1"/>
    </row>
    <row r="22" spans="1:10">
      <c r="A22" s="93">
        <f>MATCH(B22,'P&amp;L.current'!$B:$B,0)</f>
        <v>49</v>
      </c>
      <c r="B22" s="93" t="s">
        <v>219</v>
      </c>
      <c r="C22" s="72" t="s">
        <v>337</v>
      </c>
      <c r="D22" s="72">
        <f>IFERROR(INDEX('P&amp;L.current'!$A$1:$CJ$201,$A22,D$6),0)</f>
        <v>7587.88</v>
      </c>
      <c r="E22" s="72">
        <f>IFERROR(INDEX('P&amp;L.current'!$A$1:$CJ$201,$A22,E$6),0)</f>
        <v>0</v>
      </c>
      <c r="F22" s="72">
        <f>IFERROR(INDEX('P&amp;L.current'!$A$1:$CJ$201,$A22,F$6),0)</f>
        <v>0</v>
      </c>
      <c r="G22" s="72">
        <f t="shared" si="0"/>
        <v>7587.88</v>
      </c>
      <c r="I22" s="130"/>
      <c r="J22" s="1"/>
    </row>
    <row r="23" spans="1:10" s="9" customFormat="1" ht="5.25" customHeight="1">
      <c r="C23" s="117"/>
      <c r="D23" s="117"/>
      <c r="E23" s="118"/>
      <c r="F23" s="118"/>
      <c r="G23" s="73"/>
    </row>
    <row r="24" spans="1:10" s="114" customFormat="1" ht="14.65" thickBot="1">
      <c r="A24" s="115"/>
      <c r="B24" s="115"/>
      <c r="C24" s="113" t="s">
        <v>61</v>
      </c>
      <c r="D24" s="113">
        <f>SUM(D9:D23)</f>
        <v>128685.96</v>
      </c>
      <c r="E24" s="113">
        <f>SUM(E9:E23)</f>
        <v>2402.34</v>
      </c>
      <c r="F24" s="113">
        <f>SUM(F9:F23)</f>
        <v>16134.89</v>
      </c>
      <c r="G24" s="113">
        <f>SUM(G9:G23)</f>
        <v>147223.19000000003</v>
      </c>
      <c r="J24" s="131"/>
    </row>
    <row r="25" spans="1:10" ht="14.65" thickTop="1">
      <c r="C25" s="6"/>
      <c r="D25" s="74"/>
      <c r="E25" s="74"/>
      <c r="F25" s="74"/>
      <c r="G25" s="74"/>
    </row>
    <row r="26" spans="1:10" s="69" customFormat="1" hidden="1" outlineLevel="1">
      <c r="A26" s="95"/>
      <c r="B26" s="95"/>
      <c r="C26" s="69" t="s">
        <v>64</v>
      </c>
      <c r="D26" s="102">
        <f>D24-'P&amp;L.current'!I46-'P&amp;L.current'!I49</f>
        <v>0</v>
      </c>
      <c r="E26" s="102">
        <f>E24-'P&amp;L.current'!J46-'P&amp;L.current'!J49</f>
        <v>0</v>
      </c>
      <c r="F26" s="102">
        <f>F24-'P&amp;L.current'!K46-'P&amp;L.current'!K49</f>
        <v>0</v>
      </c>
      <c r="G26" s="102">
        <f>G24-'P&amp;L.current'!L46-'P&amp;L.current'!L49</f>
        <v>3.3651303965598345E-11</v>
      </c>
    </row>
    <row r="27" spans="1:10" collapsed="1">
      <c r="D27" s="195">
        <f>D24/$G$24</f>
        <v>0.87408756731870829</v>
      </c>
      <c r="E27" s="195">
        <f>E24/$G$24</f>
        <v>1.6317673866460845E-2</v>
      </c>
      <c r="F27" s="195">
        <f>F24/$G$24</f>
        <v>0.1095947588148307</v>
      </c>
      <c r="G27" s="74"/>
      <c r="J27" s="1"/>
    </row>
    <row r="28" spans="1:10">
      <c r="D28" s="128"/>
      <c r="E28" s="119"/>
      <c r="F28" s="119"/>
      <c r="G28" s="74"/>
    </row>
    <row r="29" spans="1:10">
      <c r="D29" s="119"/>
      <c r="E29" s="119"/>
      <c r="F29" s="119"/>
      <c r="G29" s="74"/>
    </row>
    <row r="30" spans="1:10">
      <c r="D30" s="119"/>
      <c r="E30" s="119"/>
      <c r="F30" s="119"/>
      <c r="G30" s="74"/>
    </row>
    <row r="31" spans="1:10">
      <c r="D31" s="119"/>
      <c r="E31" s="119"/>
      <c r="F31" s="119"/>
      <c r="G31" s="74"/>
    </row>
    <row r="32" spans="1:10">
      <c r="D32" s="119"/>
      <c r="E32" s="119"/>
      <c r="F32" s="119"/>
      <c r="G32" s="74"/>
    </row>
    <row r="33" spans="4:7">
      <c r="D33" s="119"/>
      <c r="E33" s="119"/>
      <c r="F33" s="119"/>
      <c r="G33" s="74"/>
    </row>
    <row r="34" spans="4:7">
      <c r="D34" s="36"/>
      <c r="E34" s="36"/>
      <c r="F34" s="36"/>
      <c r="G34" s="74"/>
    </row>
    <row r="35" spans="4:7">
      <c r="D35" s="36"/>
      <c r="E35" s="36"/>
      <c r="F35" s="36"/>
      <c r="G35" s="74"/>
    </row>
  </sheetData>
  <mergeCells count="4">
    <mergeCell ref="E5:F5"/>
    <mergeCell ref="C1:G1"/>
    <mergeCell ref="C2:G2"/>
    <mergeCell ref="C3:G3"/>
  </mergeCells>
  <phoneticPr fontId="10" type="noConversion"/>
  <printOptions horizontalCentered="1"/>
  <pageMargins left="0.75" right="0.75" top="0.75" bottom="0.75" header="0.5" footer="0.5"/>
  <pageSetup orientation="landscape" r:id="rId1"/>
  <headerFooter>
    <oddFooter>&amp;CUnaudited - For Management Use Only&amp;RPage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J35"/>
  <sheetViews>
    <sheetView topLeftCell="C1" zoomScaleNormal="100" workbookViewId="0">
      <selection activeCell="I1" sqref="I1:J1048576"/>
    </sheetView>
  </sheetViews>
  <sheetFormatPr defaultRowHeight="14.25" outlineLevelRow="1" outlineLevelCol="1"/>
  <cols>
    <col min="1" max="1" width="9.1328125" style="93" hidden="1" customWidth="1" outlineLevel="1"/>
    <col min="2" max="2" width="37" style="93" hidden="1" customWidth="1" outlineLevel="1"/>
    <col min="3" max="3" width="28.3984375" bestFit="1" customWidth="1" collapsed="1"/>
    <col min="4" max="6" width="18.1328125" customWidth="1"/>
    <col min="7" max="7" width="18.1328125" style="6" customWidth="1"/>
    <col min="8" max="8" width="2.59765625" customWidth="1"/>
  </cols>
  <sheetData>
    <row r="1" spans="1:10">
      <c r="C1" s="211" t="str">
        <f>Cover!B1</f>
        <v>Malecare, Inc</v>
      </c>
      <c r="D1" s="211"/>
      <c r="E1" s="211"/>
      <c r="F1" s="211"/>
      <c r="G1" s="211"/>
    </row>
    <row r="2" spans="1:10">
      <c r="C2" s="210" t="s">
        <v>86</v>
      </c>
      <c r="D2" s="210"/>
      <c r="E2" s="210"/>
      <c r="F2" s="210"/>
      <c r="G2" s="210"/>
    </row>
    <row r="3" spans="1:10">
      <c r="C3" s="210" t="str">
        <f>"For the "&amp;Cover!F4&amp;" ended "&amp;Cover!E6</f>
        <v>For the 12 months ended December 31, 2017</v>
      </c>
      <c r="D3" s="210"/>
      <c r="E3" s="210"/>
      <c r="F3" s="210"/>
      <c r="G3" s="210"/>
    </row>
    <row r="5" spans="1:10">
      <c r="C5" s="137"/>
      <c r="D5" s="112" t="s">
        <v>87</v>
      </c>
      <c r="E5" s="213" t="s">
        <v>88</v>
      </c>
      <c r="F5" s="213"/>
      <c r="G5" s="112">
        <f>Cover!D6</f>
        <v>2017</v>
      </c>
    </row>
    <row r="6" spans="1:10" s="93" customFormat="1" ht="14.25" hidden="1" customHeight="1" outlineLevel="1">
      <c r="C6" s="94"/>
      <c r="D6" s="94">
        <f>MATCH(D7,'P&amp;L.prior'!$3:$3,0)</f>
        <v>9</v>
      </c>
      <c r="E6" s="94">
        <f>MATCH(E7,'P&amp;L.prior'!$3:$3,0)</f>
        <v>10</v>
      </c>
      <c r="F6" s="94">
        <f>MATCH(F7,'P&amp;L.prior'!$3:$3,0)</f>
        <v>11</v>
      </c>
      <c r="G6" s="94">
        <f>MATCH(G7,'P&amp;L.prior'!$3:$3,0)</f>
        <v>12</v>
      </c>
    </row>
    <row r="7" spans="1:10" s="93" customFormat="1" ht="14.25" hidden="1" customHeight="1" outlineLevel="1">
      <c r="C7" s="94"/>
      <c r="D7" s="94" t="s">
        <v>58</v>
      </c>
      <c r="E7" s="94" t="s">
        <v>59</v>
      </c>
      <c r="F7" s="94" t="s">
        <v>60</v>
      </c>
      <c r="G7" s="94" t="s">
        <v>47</v>
      </c>
    </row>
    <row r="8" spans="1:10" collapsed="1">
      <c r="C8" s="97"/>
      <c r="D8" s="97" t="s">
        <v>58</v>
      </c>
      <c r="E8" s="98" t="s">
        <v>59</v>
      </c>
      <c r="F8" s="71" t="s">
        <v>60</v>
      </c>
      <c r="G8" s="71" t="s">
        <v>47</v>
      </c>
    </row>
    <row r="9" spans="1:10">
      <c r="A9" s="93">
        <f>MATCH(B9,'P&amp;L.prior'!$B:$B,0)</f>
        <v>18</v>
      </c>
      <c r="B9" s="93" t="s">
        <v>194</v>
      </c>
      <c r="C9" s="72" t="s">
        <v>338</v>
      </c>
      <c r="D9" s="72">
        <f>IFERROR(INDEX('P&amp;L.prior'!$A$1:$CJ$201,$A9,D$6),0)</f>
        <v>139530.57</v>
      </c>
      <c r="E9" s="72">
        <f>IFERROR(INDEX('P&amp;L.prior'!$A$1:$CJ$201,$A9,E$6),0)</f>
        <v>3100.66</v>
      </c>
      <c r="F9" s="72">
        <f>IFERROR(INDEX('P&amp;L.prior'!$A$1:$CJ$201,$A9,F$6),0)</f>
        <v>14379.359999999999</v>
      </c>
      <c r="G9" s="72">
        <f>SUM(D9:F9)</f>
        <v>157010.59</v>
      </c>
      <c r="I9" s="129"/>
      <c r="J9" s="1"/>
    </row>
    <row r="10" spans="1:10">
      <c r="A10" s="93">
        <f>MATCH(B10,'P&amp;L.prior'!$B:$B,0)</f>
        <v>22</v>
      </c>
      <c r="B10" s="93" t="s">
        <v>89</v>
      </c>
      <c r="C10" s="72" t="s">
        <v>90</v>
      </c>
      <c r="D10" s="72">
        <f>IFERROR(INDEX('P&amp;L.prior'!$A$1:$CJ$201,$A10,D$6),0)</f>
        <v>12960</v>
      </c>
      <c r="E10" s="72">
        <f>IFERROR(INDEX('P&amp;L.prior'!$A$1:$CJ$201,$A10,E$6),0)</f>
        <v>288</v>
      </c>
      <c r="F10" s="72">
        <f>IFERROR(INDEX('P&amp;L.prior'!$A$1:$CJ$201,$A10,F$6),0)</f>
        <v>2120.4899999999998</v>
      </c>
      <c r="G10" s="72">
        <f>SUM(D10:F10)</f>
        <v>15368.49</v>
      </c>
    </row>
    <row r="11" spans="1:10">
      <c r="A11" s="93">
        <f>MATCH(B11,'P&amp;L.prior'!$B:$B,0)</f>
        <v>25</v>
      </c>
      <c r="B11" s="93" t="s">
        <v>91</v>
      </c>
      <c r="C11" s="72" t="s">
        <v>92</v>
      </c>
      <c r="D11" s="72">
        <f>IFERROR(INDEX('P&amp;L.prior'!$A$1:$CJ$201,$A11,D$6),0)</f>
        <v>0</v>
      </c>
      <c r="E11" s="72">
        <f>IFERROR(INDEX('P&amp;L.prior'!$A$1:$CJ$201,$A11,E$6),0)</f>
        <v>0</v>
      </c>
      <c r="F11" s="72">
        <f>IFERROR(INDEX('P&amp;L.prior'!$A$1:$CJ$201,$A11,F$6),0)</f>
        <v>878</v>
      </c>
      <c r="G11" s="72">
        <f t="shared" ref="G11:G21" si="0">SUM(D11:F11)</f>
        <v>878</v>
      </c>
    </row>
    <row r="12" spans="1:10">
      <c r="A12" s="93">
        <f>MATCH(B12,'P&amp;L.prior'!$B:$B,0)</f>
        <v>29</v>
      </c>
      <c r="B12" s="93" t="s">
        <v>93</v>
      </c>
      <c r="C12" s="72" t="s">
        <v>94</v>
      </c>
      <c r="D12" s="72">
        <f>IFERROR(INDEX('P&amp;L.prior'!$A$1:$CJ$201,$A12,D$6),0)</f>
        <v>0</v>
      </c>
      <c r="E12" s="72">
        <f>IFERROR(INDEX('P&amp;L.prior'!$A$1:$CJ$201,$A12,E$6),0)</f>
        <v>0</v>
      </c>
      <c r="F12" s="72">
        <f>IFERROR(INDEX('P&amp;L.prior'!$A$1:$CJ$201,$A12,F$6),0)</f>
        <v>6875</v>
      </c>
      <c r="G12" s="72">
        <f t="shared" si="0"/>
        <v>6875</v>
      </c>
    </row>
    <row r="13" spans="1:10">
      <c r="A13" s="93">
        <f>MATCH(B13,'P&amp;L.prior'!$B:$B,0)</f>
        <v>37</v>
      </c>
      <c r="B13" s="93" t="s">
        <v>95</v>
      </c>
      <c r="C13" s="72" t="s">
        <v>332</v>
      </c>
      <c r="D13" s="72">
        <f>IFERROR(INDEX('P&amp;L.prior'!$A$1:$CJ$201,$A13,D$6),0)</f>
        <v>317.79000000000002</v>
      </c>
      <c r="E13" s="72">
        <f>IFERROR(INDEX('P&amp;L.prior'!$A$1:$CJ$201,$A13,E$6),0)</f>
        <v>0</v>
      </c>
      <c r="F13" s="72">
        <f>IFERROR(INDEX('P&amp;L.prior'!$A$1:$CJ$201,$A13,F$6),0)</f>
        <v>1150.7</v>
      </c>
      <c r="G13" s="72">
        <f t="shared" si="0"/>
        <v>1468.49</v>
      </c>
    </row>
    <row r="14" spans="1:10">
      <c r="A14" s="93">
        <f>MATCH(B14,'P&amp;L.prior'!$B:$B,0)</f>
        <v>38</v>
      </c>
      <c r="B14" s="93" t="s">
        <v>96</v>
      </c>
      <c r="C14" s="72" t="s">
        <v>97</v>
      </c>
      <c r="D14" s="72">
        <f>IFERROR(INDEX('P&amp;L.prior'!$A$1:$CJ$201,$A14,D$6),0)</f>
        <v>265.5</v>
      </c>
      <c r="E14" s="72">
        <f>IFERROR(INDEX('P&amp;L.prior'!$A$1:$CJ$201,$A14,E$6),0)</f>
        <v>29.5</v>
      </c>
      <c r="F14" s="72">
        <f>IFERROR(INDEX('P&amp;L.prior'!$A$1:$CJ$201,$A14,F$6),0)</f>
        <v>0</v>
      </c>
      <c r="G14" s="72">
        <f t="shared" si="0"/>
        <v>295</v>
      </c>
    </row>
    <row r="15" spans="1:10">
      <c r="A15" s="93" t="e">
        <f>MATCH(B15,'P&amp;L.prior'!$B:$B,0)</f>
        <v>#N/A</v>
      </c>
      <c r="B15" s="93" t="s">
        <v>179</v>
      </c>
      <c r="C15" s="72" t="s">
        <v>180</v>
      </c>
      <c r="D15" s="72">
        <f>IFERROR(INDEX('P&amp;L.prior'!$A$1:$CJ$201,$A15,D$6),0)</f>
        <v>0</v>
      </c>
      <c r="E15" s="72">
        <f>IFERROR(INDEX('P&amp;L.prior'!$A$1:$CJ$201,$A15,E$6),0)</f>
        <v>0</v>
      </c>
      <c r="F15" s="72">
        <f>IFERROR(INDEX('P&amp;L.prior'!$A$1:$CJ$201,$A15,F$6),0)</f>
        <v>0</v>
      </c>
      <c r="G15" s="72">
        <f t="shared" ref="G15" si="1">SUM(D15:F15)</f>
        <v>0</v>
      </c>
    </row>
    <row r="16" spans="1:10">
      <c r="A16" s="93">
        <f>MATCH(B16,'P&amp;L.prior'!$B:$B,0)</f>
        <v>39</v>
      </c>
      <c r="B16" s="93" t="s">
        <v>98</v>
      </c>
      <c r="C16" s="72" t="s">
        <v>99</v>
      </c>
      <c r="D16" s="72">
        <f>IFERROR(INDEX('P&amp;L.prior'!$A$1:$CJ$201,$A16,D$6),0)</f>
        <v>3382.67</v>
      </c>
      <c r="E16" s="72">
        <f>IFERROR(INDEX('P&amp;L.prior'!$A$1:$CJ$201,$A16,E$6),0)</f>
        <v>154.63999999999999</v>
      </c>
      <c r="F16" s="72">
        <f>IFERROR(INDEX('P&amp;L.prior'!$A$1:$CJ$201,$A16,F$6),0)</f>
        <v>0</v>
      </c>
      <c r="G16" s="72">
        <f t="shared" si="0"/>
        <v>3537.31</v>
      </c>
    </row>
    <row r="17" spans="1:10">
      <c r="A17" s="93">
        <f>MATCH(B17,'P&amp;L.prior'!$B:$B,0)</f>
        <v>40</v>
      </c>
      <c r="B17" s="93" t="s">
        <v>100</v>
      </c>
      <c r="C17" s="72" t="s">
        <v>333</v>
      </c>
      <c r="D17" s="72">
        <f>IFERROR(INDEX('P&amp;L.prior'!$A$1:$CJ$201,$A17,D$6),0)</f>
        <v>1702.19</v>
      </c>
      <c r="E17" s="72">
        <f>IFERROR(INDEX('P&amp;L.prior'!$A$1:$CJ$201,$A17,E$6),0)</f>
        <v>629.79999999999995</v>
      </c>
      <c r="F17" s="72">
        <f>IFERROR(INDEX('P&amp;L.prior'!$A$1:$CJ$201,$A17,F$6),0)</f>
        <v>0</v>
      </c>
      <c r="G17" s="72">
        <f t="shared" si="0"/>
        <v>2331.9899999999998</v>
      </c>
    </row>
    <row r="18" spans="1:10">
      <c r="A18" s="93">
        <f>MATCH(B18,'P&amp;L.prior'!$B:$B,0)</f>
        <v>41</v>
      </c>
      <c r="B18" s="93" t="s">
        <v>101</v>
      </c>
      <c r="C18" s="72" t="s">
        <v>334</v>
      </c>
      <c r="D18" s="72">
        <f>IFERROR(INDEX('P&amp;L.prior'!$A$1:$CJ$201,$A18,D$6),0)</f>
        <v>21019.08</v>
      </c>
      <c r="E18" s="72">
        <f>IFERROR(INDEX('P&amp;L.prior'!$A$1:$CJ$201,$A18,E$6),0)</f>
        <v>0</v>
      </c>
      <c r="F18" s="72">
        <f>IFERROR(INDEX('P&amp;L.prior'!$A$1:$CJ$201,$A18,F$6),0)</f>
        <v>0</v>
      </c>
      <c r="G18" s="72">
        <f t="shared" si="0"/>
        <v>21019.08</v>
      </c>
    </row>
    <row r="19" spans="1:10">
      <c r="A19" s="93">
        <f>MATCH(B19,'P&amp;L.prior'!$B:$B,0)</f>
        <v>42</v>
      </c>
      <c r="B19" s="93" t="s">
        <v>102</v>
      </c>
      <c r="C19" s="72" t="s">
        <v>335</v>
      </c>
      <c r="D19" s="72">
        <f>IFERROR(INDEX('P&amp;L.prior'!$A$1:$CJ$201,$A19,D$6),0)</f>
        <v>309.48</v>
      </c>
      <c r="E19" s="72">
        <f>IFERROR(INDEX('P&amp;L.prior'!$A$1:$CJ$201,$A19,E$6),0)</f>
        <v>0</v>
      </c>
      <c r="F19" s="72">
        <f>IFERROR(INDEX('P&amp;L.prior'!$A$1:$CJ$201,$A19,F$6),0)</f>
        <v>0</v>
      </c>
      <c r="G19" s="72">
        <f t="shared" ref="G19" si="2">SUM(D19:F19)</f>
        <v>309.48</v>
      </c>
    </row>
    <row r="20" spans="1:10">
      <c r="A20" s="93">
        <f>MATCH(B20,'P&amp;L.prior'!$B:$B,0)</f>
        <v>43</v>
      </c>
      <c r="B20" s="93" t="s">
        <v>223</v>
      </c>
      <c r="C20" s="72" t="s">
        <v>336</v>
      </c>
      <c r="D20" s="72">
        <f>IFERROR(INDEX('P&amp;L.prior'!$A$1:$CJ$201,$A20,D$6),0)</f>
        <v>103.88</v>
      </c>
      <c r="E20" s="72">
        <f>IFERROR(INDEX('P&amp;L.prior'!$A$1:$CJ$201,$A20,E$6),0)</f>
        <v>0</v>
      </c>
      <c r="F20" s="72">
        <f>IFERROR(INDEX('P&amp;L.prior'!$A$1:$CJ$201,$A20,F$6),0)</f>
        <v>74.39</v>
      </c>
      <c r="G20" s="72">
        <f t="shared" ref="G20" si="3">SUM(D20:F20)</f>
        <v>178.26999999999998</v>
      </c>
    </row>
    <row r="21" spans="1:10">
      <c r="A21" s="93" t="e">
        <f>MATCH(B21,'P&amp;L.prior'!$B:$B,0)</f>
        <v>#N/A</v>
      </c>
      <c r="B21" s="93" t="s">
        <v>185</v>
      </c>
      <c r="C21" s="72" t="s">
        <v>186</v>
      </c>
      <c r="D21" s="72">
        <f>IFERROR(INDEX('P&amp;L.prior'!$A$1:$CJ$201,$A21,D$6),0)</f>
        <v>0</v>
      </c>
      <c r="E21" s="72">
        <f>IFERROR(INDEX('P&amp;L.prior'!$A$1:$CJ$201,$A21,E$6),0)</f>
        <v>0</v>
      </c>
      <c r="F21" s="72">
        <f>IFERROR(INDEX('P&amp;L.prior'!$A$1:$CJ$201,$A21,F$6),0)</f>
        <v>0</v>
      </c>
      <c r="G21" s="72">
        <f t="shared" si="0"/>
        <v>0</v>
      </c>
    </row>
    <row r="22" spans="1:10">
      <c r="A22" s="93">
        <f>MATCH(B22,'P&amp;L.prior'!$B:$B,0)</f>
        <v>47</v>
      </c>
      <c r="B22" s="93" t="s">
        <v>219</v>
      </c>
      <c r="C22" s="72" t="s">
        <v>337</v>
      </c>
      <c r="D22" s="72">
        <f>IFERROR(INDEX('P&amp;L.prior'!$A$1:$CJ$201,$A22,D$6),0)</f>
        <v>7515.8</v>
      </c>
      <c r="E22" s="72">
        <f>IFERROR(INDEX('P&amp;L.prior'!$A$1:$CJ$201,$A22,E$6),0)</f>
        <v>0</v>
      </c>
      <c r="F22" s="72">
        <f>IFERROR(INDEX('P&amp;L.prior'!$A$1:$CJ$201,$A22,F$6),0)</f>
        <v>0</v>
      </c>
      <c r="G22" s="72">
        <f t="shared" ref="G22" si="4">SUM(D22:F22)</f>
        <v>7515.8</v>
      </c>
      <c r="I22" s="130"/>
      <c r="J22" s="1"/>
    </row>
    <row r="23" spans="1:10" ht="5.25" customHeight="1">
      <c r="C23" s="117"/>
      <c r="D23" s="117"/>
      <c r="E23" s="118"/>
      <c r="F23" s="118"/>
      <c r="G23" s="73"/>
    </row>
    <row r="24" spans="1:10" ht="14.65" thickBot="1">
      <c r="C24" s="113" t="s">
        <v>61</v>
      </c>
      <c r="D24" s="113">
        <f>SUM(D9:D23)</f>
        <v>187106.96000000005</v>
      </c>
      <c r="E24" s="113">
        <f>SUM(E9:E23)</f>
        <v>4202.5999999999995</v>
      </c>
      <c r="F24" s="113">
        <f>SUM(F9:F23)</f>
        <v>25477.94</v>
      </c>
      <c r="G24" s="113">
        <f>SUM(G9:G23)</f>
        <v>216787.49999999994</v>
      </c>
    </row>
    <row r="25" spans="1:10" ht="14.65" thickTop="1">
      <c r="C25" s="6"/>
      <c r="D25" s="74"/>
      <c r="E25" s="74"/>
      <c r="F25" s="74"/>
      <c r="G25" s="74"/>
    </row>
    <row r="26" spans="1:10" s="69" customFormat="1" ht="14.25" hidden="1" customHeight="1" outlineLevel="1">
      <c r="A26" s="95"/>
      <c r="B26" s="95"/>
      <c r="C26" s="69" t="s">
        <v>64</v>
      </c>
      <c r="D26" s="102">
        <f>D24-'P&amp;L.prior'!I44-'P&amp;L.prior'!I48</f>
        <v>-1.1823431123048067E-11</v>
      </c>
      <c r="E26" s="102"/>
      <c r="F26" s="102">
        <f>F24-'P&amp;L.prior'!K44</f>
        <v>0</v>
      </c>
      <c r="G26" s="102">
        <f>G24-'P&amp;L.prior'!L44-'P&amp;L.prior'!L48</f>
        <v>-1.2823875294998288E-10</v>
      </c>
    </row>
    <row r="27" spans="1:10" collapsed="1">
      <c r="C27" s="6"/>
      <c r="D27" s="129">
        <f>D24/G24</f>
        <v>0.86308924638182594</v>
      </c>
      <c r="E27" s="129">
        <f>E24/G24</f>
        <v>1.9385804070806669E-2</v>
      </c>
      <c r="F27" s="129">
        <f>F24/G24</f>
        <v>0.11752494954736784</v>
      </c>
      <c r="G27" s="74"/>
    </row>
    <row r="28" spans="1:10">
      <c r="D28" s="36"/>
      <c r="E28" s="36"/>
      <c r="F28" s="36"/>
      <c r="G28" s="74"/>
    </row>
    <row r="29" spans="1:10">
      <c r="D29" s="36"/>
      <c r="E29" s="36"/>
      <c r="F29" s="36"/>
      <c r="G29" s="74"/>
    </row>
    <row r="30" spans="1:10">
      <c r="D30" s="36"/>
      <c r="E30" s="36"/>
      <c r="F30" s="36"/>
      <c r="G30" s="74"/>
    </row>
    <row r="31" spans="1:10">
      <c r="D31" s="36"/>
      <c r="E31" s="36"/>
      <c r="F31" s="36"/>
      <c r="G31" s="74"/>
    </row>
    <row r="32" spans="1:10">
      <c r="D32" s="36"/>
      <c r="E32" s="36"/>
      <c r="F32" s="36"/>
      <c r="G32" s="74"/>
    </row>
    <row r="33" spans="4:7">
      <c r="D33" s="36"/>
      <c r="E33" s="36"/>
      <c r="F33" s="36"/>
      <c r="G33" s="74"/>
    </row>
    <row r="34" spans="4:7">
      <c r="D34" s="36"/>
      <c r="E34" s="36"/>
      <c r="F34" s="36"/>
      <c r="G34" s="74"/>
    </row>
    <row r="35" spans="4:7">
      <c r="D35" s="36"/>
      <c r="E35" s="36"/>
      <c r="F35" s="36"/>
      <c r="G35" s="74"/>
    </row>
  </sheetData>
  <mergeCells count="4">
    <mergeCell ref="C1:G1"/>
    <mergeCell ref="C2:G2"/>
    <mergeCell ref="C3:G3"/>
    <mergeCell ref="E5:F5"/>
  </mergeCells>
  <printOptions horizontalCentered="1"/>
  <pageMargins left="0.75" right="0.75" top="0.75" bottom="0.75" header="0.5" footer="0.5"/>
  <pageSetup orientation="landscape" r:id="rId1"/>
  <headerFooter>
    <oddFooter xml:space="preserve">&amp;CUnaudited - For Management Use Only&amp;RPage &amp;P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09A84-9496-44E8-ABA2-E19653877D35}">
  <sheetPr>
    <tabColor rgb="FF92D050"/>
    <pageSetUpPr fitToPage="1"/>
  </sheetPr>
  <dimension ref="A1:K51"/>
  <sheetViews>
    <sheetView zoomScaleNormal="100" workbookViewId="0">
      <selection activeCell="A65" sqref="A65"/>
    </sheetView>
  </sheetViews>
  <sheetFormatPr defaultColWidth="9.1328125" defaultRowHeight="14.25" outlineLevelRow="1" outlineLevelCol="1"/>
  <cols>
    <col min="1" max="1" width="45" style="9" customWidth="1"/>
    <col min="2" max="5" width="14.265625" style="9" customWidth="1"/>
    <col min="6" max="6" width="2.86328125" style="9" customWidth="1"/>
    <col min="7" max="7" width="13.1328125" style="9" hidden="1" customWidth="1" outlineLevel="1"/>
    <col min="8" max="10" width="11.86328125" style="9" hidden="1" customWidth="1" outlineLevel="1"/>
    <col min="11" max="11" width="46.1328125" style="9" customWidth="1" collapsed="1"/>
    <col min="12" max="16384" width="9.1328125" style="9"/>
  </cols>
  <sheetData>
    <row r="1" spans="1:11">
      <c r="A1" s="214" t="str">
        <f>Cover!B1</f>
        <v>Malecare, Inc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pans="1:11">
      <c r="A2" s="214" t="s">
        <v>285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>
      <c r="A3" s="214" t="str">
        <f>"For the "&amp;Cover!F4&amp;" ended "&amp;Cover!E4</f>
        <v>For the 12 months ended December 31, 2018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</row>
    <row r="4" spans="1:11">
      <c r="A4" s="146"/>
    </row>
    <row r="5" spans="1:11" s="148" customFormat="1" ht="42.75">
      <c r="A5" s="169"/>
      <c r="B5" s="162" t="str">
        <f>Cover!G10</f>
        <v>Dec-17</v>
      </c>
      <c r="C5" s="168" t="s">
        <v>286</v>
      </c>
      <c r="D5" s="168" t="s">
        <v>287</v>
      </c>
      <c r="E5" s="162" t="str">
        <f>Cover!G4</f>
        <v>Dec-18</v>
      </c>
      <c r="F5" s="155"/>
      <c r="G5" s="155" t="s">
        <v>288</v>
      </c>
      <c r="H5" s="155" t="s">
        <v>289</v>
      </c>
      <c r="I5" s="155" t="s">
        <v>279</v>
      </c>
      <c r="J5" s="155" t="s">
        <v>290</v>
      </c>
      <c r="K5" s="156" t="s">
        <v>291</v>
      </c>
    </row>
    <row r="6" spans="1:11" s="148" customFormat="1" ht="15" customHeight="1">
      <c r="A6" s="170"/>
      <c r="B6" s="163"/>
      <c r="C6" s="163"/>
      <c r="D6" s="163"/>
      <c r="E6" s="163"/>
      <c r="F6" s="149"/>
      <c r="G6" s="149"/>
      <c r="H6" s="149"/>
      <c r="I6" s="149"/>
      <c r="J6" s="149"/>
      <c r="K6" s="157"/>
    </row>
    <row r="7" spans="1:11" s="148" customFormat="1" ht="15" customHeight="1">
      <c r="A7" s="170" t="s">
        <v>292</v>
      </c>
      <c r="B7" s="164">
        <v>55741</v>
      </c>
      <c r="C7" s="164">
        <f>+SOA!I21</f>
        <v>176459.36</v>
      </c>
      <c r="D7" s="164">
        <f>-SOA!I28</f>
        <v>-147223.19</v>
      </c>
      <c r="E7" s="164">
        <f>SUM(B7:D7)</f>
        <v>84977.169999999984</v>
      </c>
      <c r="F7" s="150"/>
      <c r="G7" s="150">
        <v>0</v>
      </c>
      <c r="H7" s="151"/>
      <c r="I7" s="150">
        <f>+G7</f>
        <v>0</v>
      </c>
      <c r="J7" s="151"/>
      <c r="K7" s="158"/>
    </row>
    <row r="8" spans="1:11" s="148" customFormat="1" ht="15" hidden="1" customHeight="1" outlineLevel="1">
      <c r="A8" s="170" t="s">
        <v>293</v>
      </c>
      <c r="B8" s="164">
        <v>0</v>
      </c>
      <c r="C8" s="164">
        <v>0</v>
      </c>
      <c r="D8" s="164"/>
      <c r="E8" s="164">
        <f>SUM(B8:D8)</f>
        <v>0</v>
      </c>
      <c r="F8" s="150"/>
      <c r="G8" s="150"/>
      <c r="H8" s="150"/>
      <c r="I8" s="150"/>
      <c r="J8" s="150"/>
      <c r="K8" s="158"/>
    </row>
    <row r="9" spans="1:11" s="148" customFormat="1" collapsed="1">
      <c r="A9" s="171" t="s">
        <v>294</v>
      </c>
      <c r="B9" s="165">
        <f>SUM(B6:B8)</f>
        <v>55741</v>
      </c>
      <c r="C9" s="165">
        <f t="shared" ref="C9:E9" si="0">SUM(C6:C8)</f>
        <v>176459.36</v>
      </c>
      <c r="D9" s="165">
        <f t="shared" si="0"/>
        <v>-147223.19</v>
      </c>
      <c r="E9" s="165">
        <f t="shared" si="0"/>
        <v>84977.169999999984</v>
      </c>
      <c r="F9" s="153"/>
      <c r="G9" s="153">
        <f>SUM(G7:G8)</f>
        <v>0</v>
      </c>
      <c r="H9" s="153">
        <f t="shared" ref="H9:J9" si="1">SUM(H7:H8)</f>
        <v>0</v>
      </c>
      <c r="I9" s="153">
        <f t="shared" si="1"/>
        <v>0</v>
      </c>
      <c r="J9" s="153">
        <f t="shared" si="1"/>
        <v>0</v>
      </c>
      <c r="K9" s="159"/>
    </row>
    <row r="10" spans="1:11" s="148" customFormat="1">
      <c r="A10" s="170"/>
      <c r="B10" s="164"/>
      <c r="C10" s="164"/>
      <c r="D10" s="164"/>
      <c r="E10" s="164"/>
      <c r="F10" s="150"/>
      <c r="G10" s="150"/>
      <c r="H10" s="150"/>
      <c r="I10" s="150"/>
      <c r="J10" s="150"/>
      <c r="K10" s="158"/>
    </row>
    <row r="11" spans="1:11" s="148" customFormat="1">
      <c r="A11" s="172" t="s">
        <v>295</v>
      </c>
      <c r="B11" s="164"/>
      <c r="C11" s="164"/>
      <c r="D11" s="164"/>
      <c r="E11" s="164"/>
      <c r="F11" s="150"/>
      <c r="G11" s="150"/>
      <c r="H11" s="150"/>
      <c r="I11" s="150"/>
      <c r="J11" s="150"/>
      <c r="K11" s="158"/>
    </row>
    <row r="12" spans="1:11" s="148" customFormat="1">
      <c r="A12" s="173" t="s">
        <v>296</v>
      </c>
      <c r="B12" s="164"/>
      <c r="C12" s="164"/>
      <c r="D12" s="164"/>
      <c r="E12" s="164"/>
      <c r="F12" s="150"/>
      <c r="G12" s="150"/>
      <c r="H12" s="150"/>
      <c r="I12" s="150"/>
      <c r="J12" s="150"/>
      <c r="K12" s="158"/>
    </row>
    <row r="13" spans="1:11" s="148" customFormat="1">
      <c r="A13" s="170" t="s">
        <v>146</v>
      </c>
      <c r="B13" s="164"/>
      <c r="C13" s="164"/>
      <c r="D13" s="164"/>
      <c r="E13" s="164"/>
      <c r="F13" s="150"/>
      <c r="G13" s="150"/>
      <c r="H13" s="10">
        <f t="shared" ref="H13:H29" si="2">IF(G13&gt;0,IF((E13&gt;G13),G13,E13),0)</f>
        <v>0</v>
      </c>
      <c r="I13" s="150">
        <f t="shared" ref="I13:I29" si="3">+G13-H13</f>
        <v>0</v>
      </c>
      <c r="J13" s="150">
        <f t="shared" ref="J13:J29" si="4">+E13-H13</f>
        <v>0</v>
      </c>
      <c r="K13" s="158"/>
    </row>
    <row r="14" spans="1:11" s="148" customFormat="1" ht="28.5">
      <c r="A14" s="174" t="s">
        <v>306</v>
      </c>
      <c r="B14" s="164">
        <v>2500</v>
      </c>
      <c r="C14" s="164">
        <v>0</v>
      </c>
      <c r="D14" s="164">
        <v>-2500</v>
      </c>
      <c r="E14" s="164">
        <f t="shared" ref="E14:E35" si="5">SUM(B14:D14)</f>
        <v>0</v>
      </c>
      <c r="F14" s="150"/>
      <c r="G14" s="150"/>
      <c r="H14" s="10">
        <f t="shared" si="2"/>
        <v>0</v>
      </c>
      <c r="I14" s="150">
        <f t="shared" si="3"/>
        <v>0</v>
      </c>
      <c r="J14" s="150">
        <f t="shared" si="4"/>
        <v>0</v>
      </c>
      <c r="K14" s="193" t="s">
        <v>307</v>
      </c>
    </row>
    <row r="15" spans="1:11" s="148" customFormat="1" ht="39" customHeight="1">
      <c r="A15" s="174" t="s">
        <v>308</v>
      </c>
      <c r="B15" s="164">
        <v>0</v>
      </c>
      <c r="C15" s="164">
        <v>50000</v>
      </c>
      <c r="D15" s="164">
        <v>-50000</v>
      </c>
      <c r="E15" s="164">
        <f t="shared" si="5"/>
        <v>0</v>
      </c>
      <c r="F15" s="150"/>
      <c r="G15" s="150"/>
      <c r="H15" s="10">
        <f t="shared" si="2"/>
        <v>0</v>
      </c>
      <c r="I15" s="150">
        <f t="shared" si="3"/>
        <v>0</v>
      </c>
      <c r="J15" s="150">
        <f t="shared" si="4"/>
        <v>0</v>
      </c>
      <c r="K15" s="194" t="s">
        <v>309</v>
      </c>
    </row>
    <row r="16" spans="1:11" s="148" customFormat="1" ht="39" customHeight="1">
      <c r="A16" s="174" t="s">
        <v>340</v>
      </c>
      <c r="B16" s="164">
        <v>0</v>
      </c>
      <c r="C16" s="164">
        <v>20000</v>
      </c>
      <c r="D16" s="164">
        <v>-20000</v>
      </c>
      <c r="E16" s="164">
        <f t="shared" si="5"/>
        <v>0</v>
      </c>
      <c r="F16" s="150"/>
      <c r="G16" s="150"/>
      <c r="H16" s="10"/>
      <c r="I16" s="150"/>
      <c r="J16" s="150"/>
      <c r="K16" s="194" t="s">
        <v>354</v>
      </c>
    </row>
    <row r="17" spans="1:11" s="148" customFormat="1" ht="39" customHeight="1">
      <c r="A17" s="174" t="s">
        <v>355</v>
      </c>
      <c r="B17" s="201">
        <v>0</v>
      </c>
      <c r="C17" s="201">
        <v>5000</v>
      </c>
      <c r="D17" s="201">
        <v>-5000</v>
      </c>
      <c r="E17" s="201">
        <f t="shared" si="5"/>
        <v>0</v>
      </c>
      <c r="F17" s="150"/>
      <c r="G17" s="150"/>
      <c r="H17" s="10"/>
      <c r="I17" s="150"/>
      <c r="J17" s="150"/>
      <c r="K17" s="194" t="s">
        <v>356</v>
      </c>
    </row>
    <row r="18" spans="1:11" s="148" customFormat="1" ht="17.649999999999999" customHeight="1">
      <c r="A18" s="202" t="s">
        <v>357</v>
      </c>
      <c r="B18" s="164">
        <f>SUM(B13:B17)</f>
        <v>2500</v>
      </c>
      <c r="C18" s="164">
        <f>SUM(C13:C17)</f>
        <v>75000</v>
      </c>
      <c r="D18" s="164">
        <f>SUM(D13:D17)</f>
        <v>-77500</v>
      </c>
      <c r="E18" s="164">
        <f>SUM(E13:E17)</f>
        <v>0</v>
      </c>
      <c r="F18" s="150"/>
      <c r="G18" s="150"/>
      <c r="H18" s="10"/>
      <c r="I18" s="150"/>
      <c r="J18" s="150"/>
      <c r="K18" s="194"/>
    </row>
    <row r="19" spans="1:11" s="148" customFormat="1">
      <c r="A19" s="174"/>
      <c r="B19" s="164"/>
      <c r="C19" s="164"/>
      <c r="D19" s="164"/>
      <c r="E19" s="164"/>
      <c r="F19" s="150"/>
      <c r="G19" s="150"/>
      <c r="H19" s="10">
        <f t="shared" si="2"/>
        <v>0</v>
      </c>
      <c r="I19" s="150">
        <f t="shared" si="3"/>
        <v>0</v>
      </c>
      <c r="J19" s="150">
        <f t="shared" si="4"/>
        <v>0</v>
      </c>
      <c r="K19" s="158"/>
    </row>
    <row r="20" spans="1:11" s="148" customFormat="1" hidden="1" outlineLevel="1">
      <c r="A20" s="170" t="s">
        <v>147</v>
      </c>
      <c r="B20" s="164"/>
      <c r="C20" s="164"/>
      <c r="D20" s="164"/>
      <c r="E20" s="164"/>
      <c r="F20" s="150"/>
      <c r="G20" s="150"/>
      <c r="H20" s="10">
        <f t="shared" si="2"/>
        <v>0</v>
      </c>
      <c r="I20" s="150">
        <f t="shared" si="3"/>
        <v>0</v>
      </c>
      <c r="J20" s="150">
        <f t="shared" si="4"/>
        <v>0</v>
      </c>
      <c r="K20" s="158"/>
    </row>
    <row r="21" spans="1:11" s="148" customFormat="1" hidden="1" outlineLevel="1">
      <c r="A21" s="174"/>
      <c r="B21" s="164"/>
      <c r="C21" s="164"/>
      <c r="D21" s="164"/>
      <c r="E21" s="164">
        <f t="shared" si="5"/>
        <v>0</v>
      </c>
      <c r="F21" s="150"/>
      <c r="G21" s="150"/>
      <c r="H21" s="10">
        <f t="shared" si="2"/>
        <v>0</v>
      </c>
      <c r="I21" s="150">
        <f t="shared" si="3"/>
        <v>0</v>
      </c>
      <c r="J21" s="150">
        <f t="shared" si="4"/>
        <v>0</v>
      </c>
      <c r="K21" s="158"/>
    </row>
    <row r="22" spans="1:11" s="148" customFormat="1" hidden="1" outlineLevel="1">
      <c r="A22" s="174"/>
      <c r="B22" s="164"/>
      <c r="C22" s="164"/>
      <c r="D22" s="164"/>
      <c r="E22" s="164">
        <f t="shared" si="5"/>
        <v>0</v>
      </c>
      <c r="F22" s="150"/>
      <c r="G22" s="150"/>
      <c r="H22" s="10">
        <f t="shared" si="2"/>
        <v>0</v>
      </c>
      <c r="I22" s="150">
        <f t="shared" si="3"/>
        <v>0</v>
      </c>
      <c r="J22" s="150">
        <f t="shared" si="4"/>
        <v>0</v>
      </c>
      <c r="K22" s="158"/>
    </row>
    <row r="23" spans="1:11" s="148" customFormat="1" hidden="1" outlineLevel="1">
      <c r="A23" s="174"/>
      <c r="B23" s="164"/>
      <c r="C23" s="164"/>
      <c r="D23" s="164"/>
      <c r="E23" s="164"/>
      <c r="F23" s="150"/>
      <c r="G23" s="150"/>
      <c r="H23" s="10">
        <f t="shared" si="2"/>
        <v>0</v>
      </c>
      <c r="I23" s="150">
        <f t="shared" si="3"/>
        <v>0</v>
      </c>
      <c r="J23" s="150">
        <f t="shared" si="4"/>
        <v>0</v>
      </c>
      <c r="K23" s="158"/>
    </row>
    <row r="24" spans="1:11" s="148" customFormat="1" collapsed="1">
      <c r="A24" s="173" t="s">
        <v>297</v>
      </c>
      <c r="B24" s="164"/>
      <c r="C24" s="164"/>
      <c r="D24" s="164"/>
      <c r="E24" s="164"/>
      <c r="F24" s="150"/>
      <c r="G24" s="150"/>
      <c r="H24" s="10">
        <f t="shared" si="2"/>
        <v>0</v>
      </c>
      <c r="I24" s="150">
        <f t="shared" si="3"/>
        <v>0</v>
      </c>
      <c r="J24" s="150">
        <f t="shared" si="4"/>
        <v>0</v>
      </c>
      <c r="K24" s="158"/>
    </row>
    <row r="25" spans="1:11" s="148" customFormat="1">
      <c r="A25" s="174" t="s">
        <v>358</v>
      </c>
      <c r="B25" s="164">
        <v>0</v>
      </c>
      <c r="C25" s="164">
        <v>15000</v>
      </c>
      <c r="D25" s="164">
        <v>0</v>
      </c>
      <c r="E25" s="164">
        <f t="shared" ref="E25:E27" si="6">SUM(B25:D25)</f>
        <v>15000</v>
      </c>
      <c r="F25" s="150"/>
      <c r="G25" s="150"/>
      <c r="H25" s="10">
        <f t="shared" ref="H25:H27" si="7">IF(G25&gt;0,IF((E25&gt;G25),G25,E25),0)</f>
        <v>0</v>
      </c>
      <c r="I25" s="150">
        <f t="shared" ref="I25:I27" si="8">+G25-H25</f>
        <v>0</v>
      </c>
      <c r="J25" s="150">
        <f t="shared" ref="J25:J27" si="9">+E25-H25</f>
        <v>15000</v>
      </c>
      <c r="K25" s="158"/>
    </row>
    <row r="26" spans="1:11" s="148" customFormat="1">
      <c r="A26" s="174" t="s">
        <v>359</v>
      </c>
      <c r="B26" s="164">
        <v>0</v>
      </c>
      <c r="C26" s="164">
        <v>1000</v>
      </c>
      <c r="D26" s="164">
        <v>0</v>
      </c>
      <c r="E26" s="164">
        <f t="shared" si="6"/>
        <v>1000</v>
      </c>
      <c r="F26" s="150"/>
      <c r="G26" s="150"/>
      <c r="H26" s="10">
        <f t="shared" si="7"/>
        <v>0</v>
      </c>
      <c r="I26" s="150">
        <f t="shared" si="8"/>
        <v>0</v>
      </c>
      <c r="J26" s="150">
        <f t="shared" si="9"/>
        <v>1000</v>
      </c>
      <c r="K26" s="158"/>
    </row>
    <row r="27" spans="1:11" s="148" customFormat="1" ht="16.5">
      <c r="A27" s="174" t="s">
        <v>360</v>
      </c>
      <c r="B27" s="201">
        <v>0</v>
      </c>
      <c r="C27" s="201">
        <v>18804.8</v>
      </c>
      <c r="D27" s="201">
        <v>0</v>
      </c>
      <c r="E27" s="201">
        <f t="shared" si="6"/>
        <v>18804.8</v>
      </c>
      <c r="F27" s="150"/>
      <c r="G27" s="150"/>
      <c r="H27" s="10">
        <f t="shared" si="7"/>
        <v>0</v>
      </c>
      <c r="I27" s="150">
        <f t="shared" si="8"/>
        <v>0</v>
      </c>
      <c r="J27" s="150">
        <f t="shared" si="9"/>
        <v>18804.8</v>
      </c>
      <c r="K27" s="158"/>
    </row>
    <row r="28" spans="1:11" s="148" customFormat="1">
      <c r="A28" s="202" t="s">
        <v>361</v>
      </c>
      <c r="B28" s="164">
        <f>SUM(B25:B27)</f>
        <v>0</v>
      </c>
      <c r="C28" s="164">
        <f>SUM(C25:C27)</f>
        <v>34804.800000000003</v>
      </c>
      <c r="D28" s="164">
        <f>SUM(D25:D27)</f>
        <v>0</v>
      </c>
      <c r="E28" s="164">
        <f>SUM(E25:E27)</f>
        <v>34804.800000000003</v>
      </c>
      <c r="F28" s="150"/>
      <c r="G28" s="150"/>
      <c r="H28" s="10">
        <f t="shared" si="2"/>
        <v>0</v>
      </c>
      <c r="I28" s="150">
        <f t="shared" si="3"/>
        <v>0</v>
      </c>
      <c r="J28" s="150">
        <f t="shared" si="4"/>
        <v>34804.800000000003</v>
      </c>
      <c r="K28" s="158"/>
    </row>
    <row r="29" spans="1:11" s="148" customFormat="1">
      <c r="A29" s="174"/>
      <c r="B29" s="164"/>
      <c r="C29" s="164"/>
      <c r="D29" s="164"/>
      <c r="E29" s="164"/>
      <c r="F29" s="150"/>
      <c r="G29" s="150"/>
      <c r="H29" s="10">
        <f t="shared" si="2"/>
        <v>0</v>
      </c>
      <c r="I29" s="150">
        <f t="shared" si="3"/>
        <v>0</v>
      </c>
      <c r="J29" s="150">
        <f t="shared" si="4"/>
        <v>0</v>
      </c>
      <c r="K29" s="158"/>
    </row>
    <row r="30" spans="1:11" s="148" customFormat="1" hidden="1" outlineLevel="1">
      <c r="A30" s="175" t="s">
        <v>298</v>
      </c>
      <c r="B30" s="166">
        <f>B18+B28</f>
        <v>2500</v>
      </c>
      <c r="C30" s="166">
        <f>C18+C28</f>
        <v>109804.8</v>
      </c>
      <c r="D30" s="166">
        <f>D18+D28</f>
        <v>-77500</v>
      </c>
      <c r="E30" s="166">
        <f>E18+E28</f>
        <v>34804.800000000003</v>
      </c>
      <c r="F30" s="152"/>
      <c r="G30" s="152">
        <f>SUM(G12:G29)</f>
        <v>0</v>
      </c>
      <c r="H30" s="152">
        <f>SUM(H12:H29)</f>
        <v>0</v>
      </c>
      <c r="I30" s="152">
        <f>SUM(I12:I29)</f>
        <v>0</v>
      </c>
      <c r="J30" s="152">
        <f>SUM(J12:J29)</f>
        <v>69609.600000000006</v>
      </c>
      <c r="K30" s="160"/>
    </row>
    <row r="31" spans="1:11" s="148" customFormat="1" hidden="1" outlineLevel="1">
      <c r="A31" s="176"/>
      <c r="B31" s="164"/>
      <c r="C31" s="164"/>
      <c r="D31" s="164"/>
      <c r="E31" s="164"/>
      <c r="F31" s="150"/>
      <c r="G31" s="150"/>
      <c r="H31" s="150"/>
      <c r="I31" s="150"/>
      <c r="J31" s="150"/>
      <c r="K31" s="158"/>
    </row>
    <row r="32" spans="1:11" s="148" customFormat="1" hidden="1" outlineLevel="1">
      <c r="A32" s="177" t="s">
        <v>299</v>
      </c>
      <c r="B32" s="164"/>
      <c r="C32" s="164"/>
      <c r="D32" s="164"/>
      <c r="E32" s="164"/>
      <c r="F32" s="150"/>
      <c r="G32" s="150"/>
      <c r="H32" s="150"/>
      <c r="I32" s="150"/>
      <c r="J32" s="150"/>
      <c r="K32" s="158"/>
    </row>
    <row r="33" spans="1:11" s="148" customFormat="1" hidden="1" outlineLevel="1">
      <c r="A33" s="174"/>
      <c r="B33" s="164"/>
      <c r="C33" s="164"/>
      <c r="D33" s="164"/>
      <c r="E33" s="164">
        <f>SUM(B33:D33)</f>
        <v>0</v>
      </c>
      <c r="F33" s="150"/>
      <c r="G33" s="150"/>
      <c r="H33" s="10">
        <f t="shared" ref="H33:H34" si="10">IF(G33&gt;0,IF((E33&gt;G33),G33,E33),0)</f>
        <v>0</v>
      </c>
      <c r="I33" s="150">
        <f t="shared" ref="I33:I35" si="11">+G33-H33</f>
        <v>0</v>
      </c>
      <c r="J33" s="150">
        <f t="shared" ref="J33:J35" si="12">+E33-H33</f>
        <v>0</v>
      </c>
      <c r="K33" s="158"/>
    </row>
    <row r="34" spans="1:11" s="148" customFormat="1" hidden="1" outlineLevel="1">
      <c r="A34" s="174"/>
      <c r="B34" s="164"/>
      <c r="C34" s="164"/>
      <c r="D34" s="164"/>
      <c r="E34" s="164">
        <f>SUM(B34:D34)</f>
        <v>0</v>
      </c>
      <c r="F34" s="150"/>
      <c r="G34" s="150"/>
      <c r="H34" s="10">
        <f t="shared" si="10"/>
        <v>0</v>
      </c>
      <c r="I34" s="150">
        <f t="shared" si="11"/>
        <v>0</v>
      </c>
      <c r="J34" s="150">
        <f t="shared" si="12"/>
        <v>0</v>
      </c>
      <c r="K34" s="158"/>
    </row>
    <row r="35" spans="1:11" s="148" customFormat="1" hidden="1" outlineLevel="1">
      <c r="A35" s="174"/>
      <c r="B35" s="164"/>
      <c r="C35" s="164"/>
      <c r="D35" s="164"/>
      <c r="E35" s="164">
        <f t="shared" si="5"/>
        <v>0</v>
      </c>
      <c r="F35" s="150"/>
      <c r="G35" s="150"/>
      <c r="H35" s="150"/>
      <c r="I35" s="150">
        <f t="shared" si="11"/>
        <v>0</v>
      </c>
      <c r="J35" s="150">
        <f t="shared" si="12"/>
        <v>0</v>
      </c>
      <c r="K35" s="158"/>
    </row>
    <row r="36" spans="1:11" s="148" customFormat="1" hidden="1" outlineLevel="1">
      <c r="A36" s="175" t="s">
        <v>300</v>
      </c>
      <c r="B36" s="166">
        <f>SUM(B32:B35)</f>
        <v>0</v>
      </c>
      <c r="C36" s="166">
        <f>SUM(C32:C35)</f>
        <v>0</v>
      </c>
      <c r="D36" s="166">
        <f>SUM(D32:D35)</f>
        <v>0</v>
      </c>
      <c r="E36" s="166">
        <f>SUM(E32:E35)</f>
        <v>0</v>
      </c>
      <c r="F36" s="152"/>
      <c r="G36" s="152">
        <f t="shared" ref="G36:J36" si="13">SUM(G32:G35)</f>
        <v>0</v>
      </c>
      <c r="H36" s="152">
        <f t="shared" si="13"/>
        <v>0</v>
      </c>
      <c r="I36" s="152">
        <f t="shared" si="13"/>
        <v>0</v>
      </c>
      <c r="J36" s="152">
        <f t="shared" si="13"/>
        <v>0</v>
      </c>
      <c r="K36" s="160"/>
    </row>
    <row r="37" spans="1:11" s="148" customFormat="1" hidden="1" outlineLevel="1">
      <c r="A37" s="170"/>
      <c r="B37" s="164"/>
      <c r="C37" s="164"/>
      <c r="D37" s="164"/>
      <c r="E37" s="164">
        <f t="shared" ref="E37:E39" si="14">SUM(B37:D37)</f>
        <v>0</v>
      </c>
      <c r="F37" s="150"/>
      <c r="G37" s="150"/>
      <c r="H37" s="150"/>
      <c r="I37" s="150"/>
      <c r="J37" s="150"/>
      <c r="K37" s="158"/>
    </row>
    <row r="38" spans="1:11" s="148" customFormat="1" collapsed="1">
      <c r="A38" s="178" t="s">
        <v>301</v>
      </c>
      <c r="B38" s="166">
        <f>B30+B36</f>
        <v>2500</v>
      </c>
      <c r="C38" s="166">
        <f>C30+C36</f>
        <v>109804.8</v>
      </c>
      <c r="D38" s="166">
        <f>D30+D36</f>
        <v>-77500</v>
      </c>
      <c r="E38" s="166">
        <f>E30+E36</f>
        <v>34804.800000000003</v>
      </c>
      <c r="F38" s="152"/>
      <c r="G38" s="152">
        <f>+G30+G36</f>
        <v>0</v>
      </c>
      <c r="H38" s="152">
        <f>+H30+H36</f>
        <v>0</v>
      </c>
      <c r="I38" s="152">
        <f>+I30+I36</f>
        <v>0</v>
      </c>
      <c r="J38" s="152">
        <f>+J30+J36</f>
        <v>69609.600000000006</v>
      </c>
      <c r="K38" s="160"/>
    </row>
    <row r="39" spans="1:11" s="148" customFormat="1">
      <c r="A39" s="170"/>
      <c r="B39" s="164"/>
      <c r="C39" s="164"/>
      <c r="D39" s="164"/>
      <c r="E39" s="164">
        <f t="shared" si="14"/>
        <v>0</v>
      </c>
      <c r="F39" s="150"/>
      <c r="G39" s="150"/>
      <c r="H39" s="150"/>
      <c r="I39" s="150"/>
      <c r="J39" s="150"/>
      <c r="K39" s="158"/>
    </row>
    <row r="40" spans="1:11" s="148" customFormat="1" hidden="1" outlineLevel="1">
      <c r="A40" s="172" t="s">
        <v>302</v>
      </c>
      <c r="B40" s="164"/>
      <c r="C40" s="164"/>
      <c r="D40" s="164"/>
      <c r="E40" s="164"/>
      <c r="F40" s="150"/>
      <c r="G40" s="150"/>
      <c r="H40" s="150"/>
      <c r="I40" s="150"/>
      <c r="J40" s="150"/>
      <c r="K40" s="158"/>
    </row>
    <row r="41" spans="1:11" s="148" customFormat="1" hidden="1" outlineLevel="1">
      <c r="A41" s="170" t="s">
        <v>303</v>
      </c>
      <c r="B41" s="164"/>
      <c r="C41" s="164"/>
      <c r="D41" s="164"/>
      <c r="E41" s="164"/>
      <c r="F41" s="150"/>
      <c r="G41" s="150"/>
      <c r="H41" s="150"/>
      <c r="I41" s="150"/>
      <c r="J41" s="150"/>
      <c r="K41" s="158"/>
    </row>
    <row r="42" spans="1:11" s="148" customFormat="1" hidden="1" outlineLevel="1">
      <c r="A42" s="174"/>
      <c r="B42" s="164">
        <v>0</v>
      </c>
      <c r="C42" s="164"/>
      <c r="D42" s="164"/>
      <c r="E42" s="164">
        <f>B42+C42+D42</f>
        <v>0</v>
      </c>
      <c r="F42" s="150"/>
      <c r="G42" s="150">
        <v>0</v>
      </c>
      <c r="H42" s="150"/>
      <c r="I42" s="150"/>
      <c r="J42" s="150"/>
      <c r="K42" s="158"/>
    </row>
    <row r="43" spans="1:11" s="148" customFormat="1" hidden="1" outlineLevel="1">
      <c r="A43" s="174"/>
      <c r="B43" s="164"/>
      <c r="C43" s="164"/>
      <c r="D43" s="164"/>
      <c r="E43" s="164"/>
      <c r="F43" s="150"/>
      <c r="G43" s="150"/>
      <c r="H43" s="150"/>
      <c r="I43" s="150"/>
      <c r="J43" s="150"/>
      <c r="K43" s="158"/>
    </row>
    <row r="44" spans="1:11" s="148" customFormat="1" hidden="1" outlineLevel="1">
      <c r="A44" s="178" t="s">
        <v>302</v>
      </c>
      <c r="B44" s="166">
        <f>SUM(B41:B43)</f>
        <v>0</v>
      </c>
      <c r="C44" s="166">
        <f t="shared" ref="C44:J44" si="15">SUM(C41:C43)</f>
        <v>0</v>
      </c>
      <c r="D44" s="166">
        <f t="shared" si="15"/>
        <v>0</v>
      </c>
      <c r="E44" s="166">
        <f t="shared" si="15"/>
        <v>0</v>
      </c>
      <c r="F44" s="152"/>
      <c r="G44" s="152">
        <f t="shared" si="15"/>
        <v>0</v>
      </c>
      <c r="H44" s="152">
        <f t="shared" si="15"/>
        <v>0</v>
      </c>
      <c r="I44" s="152">
        <f t="shared" si="15"/>
        <v>0</v>
      </c>
      <c r="J44" s="152">
        <f t="shared" si="15"/>
        <v>0</v>
      </c>
      <c r="K44" s="160"/>
    </row>
    <row r="45" spans="1:11" s="148" customFormat="1" hidden="1" outlineLevel="1">
      <c r="A45" s="170"/>
      <c r="B45" s="164"/>
      <c r="C45" s="164"/>
      <c r="D45" s="164"/>
      <c r="E45" s="164"/>
      <c r="F45" s="150"/>
      <c r="G45" s="150"/>
      <c r="H45" s="150"/>
      <c r="I45" s="150"/>
      <c r="J45" s="150"/>
      <c r="K45" s="158"/>
    </row>
    <row r="46" spans="1:11" s="148" customFormat="1" collapsed="1">
      <c r="A46" s="171" t="s">
        <v>304</v>
      </c>
      <c r="B46" s="165">
        <f>B38</f>
        <v>2500</v>
      </c>
      <c r="C46" s="165">
        <f>C38</f>
        <v>109804.8</v>
      </c>
      <c r="D46" s="165">
        <f>D38</f>
        <v>-77500</v>
      </c>
      <c r="E46" s="165">
        <f>E38</f>
        <v>34804.800000000003</v>
      </c>
      <c r="F46" s="153"/>
      <c r="G46" s="153">
        <f>+G38+G44</f>
        <v>0</v>
      </c>
      <c r="H46" s="153">
        <f>+H38+H44</f>
        <v>0</v>
      </c>
      <c r="I46" s="153">
        <f>+I38+I44</f>
        <v>0</v>
      </c>
      <c r="J46" s="153">
        <f>+J38+J44</f>
        <v>69609.600000000006</v>
      </c>
      <c r="K46" s="159"/>
    </row>
    <row r="47" spans="1:11" s="148" customFormat="1">
      <c r="A47" s="170"/>
      <c r="B47" s="164"/>
      <c r="C47" s="164"/>
      <c r="D47" s="164"/>
      <c r="E47" s="164"/>
      <c r="F47" s="150"/>
      <c r="G47" s="150"/>
      <c r="H47" s="150"/>
      <c r="I47" s="150"/>
      <c r="J47" s="150"/>
      <c r="K47" s="158"/>
    </row>
    <row r="48" spans="1:11" s="148" customFormat="1" ht="14.65" thickBot="1">
      <c r="A48" s="179" t="s">
        <v>305</v>
      </c>
      <c r="B48" s="167">
        <f>+B9+B46</f>
        <v>58241</v>
      </c>
      <c r="C48" s="167">
        <f>+C9+C46</f>
        <v>286264.15999999997</v>
      </c>
      <c r="D48" s="167">
        <f>+D9+D46</f>
        <v>-224723.19</v>
      </c>
      <c r="E48" s="167">
        <f>+E9+E46</f>
        <v>119781.96999999999</v>
      </c>
      <c r="F48" s="154"/>
      <c r="G48" s="154">
        <f>+G9+G46</f>
        <v>0</v>
      </c>
      <c r="H48" s="154">
        <f>+H9+H46</f>
        <v>0</v>
      </c>
      <c r="I48" s="154">
        <f>+I9+I46</f>
        <v>0</v>
      </c>
      <c r="J48" s="154">
        <f>+J9+J46</f>
        <v>69609.600000000006</v>
      </c>
      <c r="K48" s="161"/>
    </row>
    <row r="49" spans="2:11" s="148" customFormat="1" ht="14.65" thickTop="1">
      <c r="K49" s="147"/>
    </row>
    <row r="50" spans="2:11">
      <c r="B50" s="180">
        <f>B48-SOFP!H51</f>
        <v>-0.11999999999534339</v>
      </c>
      <c r="C50" s="181"/>
      <c r="D50" s="181"/>
      <c r="E50" s="180">
        <f>E48-SOFP!F51</f>
        <v>0</v>
      </c>
      <c r="F50" s="7"/>
      <c r="G50" s="7"/>
    </row>
    <row r="51" spans="2:11">
      <c r="G51" s="7"/>
    </row>
  </sheetData>
  <mergeCells count="3">
    <mergeCell ref="A1:K1"/>
    <mergeCell ref="A2:K2"/>
    <mergeCell ref="A3:K3"/>
  </mergeCells>
  <pageMargins left="0.7" right="0.7" top="0.75" bottom="0.75" header="0.3" footer="0.3"/>
  <pageSetup scale="80" orientation="landscape" r:id="rId1"/>
  <headerFooter>
    <oddFooter>&amp;CUnaudited - For Management Use Only&amp;RPage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tabColor rgb="FFFFFF00"/>
  </sheetPr>
  <dimension ref="A1:U100"/>
  <sheetViews>
    <sheetView workbookViewId="0">
      <pane xSplit="9" ySplit="3" topLeftCell="J37" activePane="bottomRight" state="frozenSplit"/>
      <selection activeCell="I3" sqref="I3:J52"/>
      <selection pane="topRight" activeCell="I3" sqref="I3:J52"/>
      <selection pane="bottomLeft" activeCell="I3" sqref="I3:J52"/>
      <selection pane="bottomRight" activeCell="I3" sqref="I3:J52"/>
    </sheetView>
  </sheetViews>
  <sheetFormatPr defaultColWidth="9.1328125" defaultRowHeight="13.15"/>
  <cols>
    <col min="1" max="1" width="9.1328125" style="81"/>
    <col min="2" max="2" width="45.3984375" style="81" customWidth="1"/>
    <col min="3" max="8" width="3" style="31" customWidth="1"/>
    <col min="9" max="9" width="33.1328125" style="31" customWidth="1"/>
    <col min="10" max="10" width="12.73046875" style="32" bestFit="1" customWidth="1"/>
    <col min="11" max="16384" width="9.1328125" style="29"/>
  </cols>
  <sheetData>
    <row r="1" spans="1:21" s="80" customFormat="1" ht="14.25" customHeight="1">
      <c r="A1" s="80">
        <v>1</v>
      </c>
      <c r="B1" s="80">
        <f>A1+1</f>
        <v>2</v>
      </c>
      <c r="C1" s="80">
        <f t="shared" ref="C1:U1" si="0">B1+1</f>
        <v>3</v>
      </c>
      <c r="D1" s="80">
        <f t="shared" si="0"/>
        <v>4</v>
      </c>
      <c r="E1" s="80">
        <f t="shared" si="0"/>
        <v>5</v>
      </c>
      <c r="F1" s="80">
        <f t="shared" si="0"/>
        <v>6</v>
      </c>
      <c r="G1" s="80">
        <f t="shared" si="0"/>
        <v>7</v>
      </c>
      <c r="H1" s="80">
        <f t="shared" si="0"/>
        <v>8</v>
      </c>
      <c r="I1" s="80">
        <f t="shared" si="0"/>
        <v>9</v>
      </c>
      <c r="J1" s="80">
        <f t="shared" si="0"/>
        <v>10</v>
      </c>
      <c r="K1" s="80">
        <f t="shared" si="0"/>
        <v>11</v>
      </c>
      <c r="L1" s="80">
        <f t="shared" si="0"/>
        <v>12</v>
      </c>
      <c r="M1" s="80">
        <f t="shared" si="0"/>
        <v>13</v>
      </c>
      <c r="N1" s="80">
        <f t="shared" si="0"/>
        <v>14</v>
      </c>
      <c r="O1" s="80">
        <f t="shared" si="0"/>
        <v>15</v>
      </c>
      <c r="P1" s="80">
        <f t="shared" si="0"/>
        <v>16</v>
      </c>
      <c r="Q1" s="80">
        <f t="shared" si="0"/>
        <v>17</v>
      </c>
      <c r="R1" s="80">
        <f t="shared" si="0"/>
        <v>18</v>
      </c>
      <c r="S1" s="80">
        <f t="shared" si="0"/>
        <v>19</v>
      </c>
      <c r="T1" s="80">
        <f t="shared" si="0"/>
        <v>20</v>
      </c>
      <c r="U1" s="80">
        <f t="shared" si="0"/>
        <v>21</v>
      </c>
    </row>
    <row r="2" spans="1:21" s="81" customFormat="1">
      <c r="A2" s="80">
        <f>A1+1</f>
        <v>2</v>
      </c>
      <c r="C2" s="83"/>
      <c r="D2" s="83"/>
      <c r="E2" s="83"/>
      <c r="F2" s="83"/>
      <c r="G2" s="83"/>
      <c r="H2" s="83"/>
      <c r="I2" s="83"/>
      <c r="J2" s="84"/>
    </row>
    <row r="3" spans="1:21" s="28" customFormat="1" ht="14.25">
      <c r="A3" s="80">
        <f t="shared" ref="A3:A66" si="1">A2+1</f>
        <v>3</v>
      </c>
      <c r="B3" s="80" t="s">
        <v>103</v>
      </c>
      <c r="C3" s="44"/>
      <c r="D3" s="44"/>
      <c r="E3" s="44"/>
      <c r="F3" s="44"/>
      <c r="G3" s="44"/>
      <c r="H3" s="44"/>
      <c r="I3" s="64"/>
      <c r="J3" s="204" t="s">
        <v>44</v>
      </c>
      <c r="K3" s="59"/>
      <c r="L3" s="59"/>
    </row>
    <row r="4" spans="1:21">
      <c r="A4" s="80">
        <f t="shared" si="1"/>
        <v>4</v>
      </c>
      <c r="B4" s="82" t="str">
        <f>C4&amp;D4&amp;E4&amp;F4&amp;G4&amp;H4&amp;I4</f>
        <v>ASSETS</v>
      </c>
      <c r="C4" s="46"/>
      <c r="D4" s="46"/>
      <c r="E4" s="46"/>
      <c r="F4" s="46"/>
      <c r="G4" s="46"/>
      <c r="H4" s="46"/>
      <c r="I4" s="205" t="s">
        <v>2</v>
      </c>
      <c r="J4" s="206"/>
      <c r="K4" s="60"/>
      <c r="L4" s="60"/>
    </row>
    <row r="5" spans="1:21">
      <c r="A5" s="80">
        <f t="shared" si="1"/>
        <v>5</v>
      </c>
      <c r="B5" s="82" t="str">
        <f t="shared" ref="B5:B68" si="2">C5&amp;D5&amp;E5&amp;F5&amp;G5&amp;H5&amp;I5</f>
        <v xml:space="preserve">   Current Assets</v>
      </c>
      <c r="C5" s="46"/>
      <c r="D5" s="46"/>
      <c r="E5" s="46"/>
      <c r="F5" s="46"/>
      <c r="G5" s="46"/>
      <c r="H5" s="46"/>
      <c r="I5" s="205" t="s">
        <v>104</v>
      </c>
      <c r="J5" s="206"/>
      <c r="K5" s="60"/>
      <c r="L5" s="60"/>
    </row>
    <row r="6" spans="1:21">
      <c r="A6" s="80">
        <f t="shared" si="1"/>
        <v>6</v>
      </c>
      <c r="B6" s="82" t="str">
        <f t="shared" si="2"/>
        <v xml:space="preserve">      Bank Accounts</v>
      </c>
      <c r="C6" s="46"/>
      <c r="D6" s="46"/>
      <c r="E6" s="46"/>
      <c r="F6" s="46"/>
      <c r="G6" s="46"/>
      <c r="H6" s="46"/>
      <c r="I6" s="205" t="s">
        <v>105</v>
      </c>
      <c r="J6" s="206"/>
      <c r="K6" s="60"/>
      <c r="L6" s="60"/>
    </row>
    <row r="7" spans="1:21">
      <c r="A7" s="80">
        <f t="shared" si="1"/>
        <v>7</v>
      </c>
      <c r="B7" s="82" t="str">
        <f t="shared" si="2"/>
        <v xml:space="preserve">         1010 Operating Checking</v>
      </c>
      <c r="C7" s="46"/>
      <c r="D7" s="46"/>
      <c r="E7" s="46"/>
      <c r="F7" s="46"/>
      <c r="G7" s="46"/>
      <c r="H7" s="46"/>
      <c r="I7" s="205" t="s">
        <v>106</v>
      </c>
      <c r="J7" s="207">
        <f>71123.6</f>
        <v>71123.600000000006</v>
      </c>
      <c r="K7" s="60"/>
      <c r="L7" s="60"/>
    </row>
    <row r="8" spans="1:21">
      <c r="A8" s="80">
        <f t="shared" si="1"/>
        <v>8</v>
      </c>
      <c r="B8" s="82" t="str">
        <f t="shared" si="2"/>
        <v xml:space="preserve">         1020 Investment</v>
      </c>
      <c r="C8" s="46"/>
      <c r="D8" s="46"/>
      <c r="E8" s="46"/>
      <c r="F8" s="46"/>
      <c r="G8" s="46"/>
      <c r="H8" s="46"/>
      <c r="I8" s="205" t="s">
        <v>107</v>
      </c>
      <c r="J8" s="207">
        <f>0</f>
        <v>0</v>
      </c>
      <c r="K8" s="60"/>
      <c r="L8" s="60"/>
    </row>
    <row r="9" spans="1:21">
      <c r="A9" s="80">
        <f t="shared" si="1"/>
        <v>9</v>
      </c>
      <c r="B9" s="82" t="str">
        <f t="shared" si="2"/>
        <v xml:space="preserve">         1030 Paypal</v>
      </c>
      <c r="C9" s="46"/>
      <c r="D9" s="46"/>
      <c r="E9" s="46"/>
      <c r="F9" s="46"/>
      <c r="G9" s="46"/>
      <c r="H9" s="46"/>
      <c r="I9" s="205" t="s">
        <v>108</v>
      </c>
      <c r="J9" s="207">
        <f>47.7</f>
        <v>47.7</v>
      </c>
      <c r="K9" s="60"/>
      <c r="L9" s="60"/>
    </row>
    <row r="10" spans="1:21">
      <c r="A10" s="80">
        <f t="shared" si="1"/>
        <v>10</v>
      </c>
      <c r="B10" s="82" t="str">
        <f t="shared" si="2"/>
        <v xml:space="preserve">         1040 Petty Cash</v>
      </c>
      <c r="C10" s="46"/>
      <c r="D10" s="46"/>
      <c r="E10" s="46"/>
      <c r="F10" s="46"/>
      <c r="G10" s="46"/>
      <c r="H10" s="46"/>
      <c r="I10" s="205" t="s">
        <v>206</v>
      </c>
      <c r="J10" s="207">
        <f>303.54</f>
        <v>303.54000000000002</v>
      </c>
      <c r="K10" s="60"/>
      <c r="L10" s="60"/>
    </row>
    <row r="11" spans="1:21">
      <c r="A11" s="80">
        <f t="shared" si="1"/>
        <v>11</v>
      </c>
      <c r="B11" s="82" t="str">
        <f t="shared" si="2"/>
        <v xml:space="preserve">      Total Bank Accounts</v>
      </c>
      <c r="C11" s="46"/>
      <c r="D11" s="46"/>
      <c r="E11" s="46"/>
      <c r="F11" s="46"/>
      <c r="G11" s="46"/>
      <c r="H11" s="46"/>
      <c r="I11" s="205" t="s">
        <v>3</v>
      </c>
      <c r="J11" s="208">
        <f>(((J7)+(J8))+(J9))+(J10)</f>
        <v>71474.84</v>
      </c>
      <c r="K11" s="60"/>
      <c r="L11" s="60"/>
    </row>
    <row r="12" spans="1:21">
      <c r="A12" s="80">
        <f t="shared" si="1"/>
        <v>12</v>
      </c>
      <c r="B12" s="82" t="str">
        <f t="shared" si="2"/>
        <v xml:space="preserve">      Accounts Receivable</v>
      </c>
      <c r="C12" s="46"/>
      <c r="D12" s="46"/>
      <c r="E12" s="46"/>
      <c r="F12" s="46"/>
      <c r="G12" s="46"/>
      <c r="H12" s="46"/>
      <c r="I12" s="205" t="s">
        <v>109</v>
      </c>
      <c r="J12" s="206"/>
      <c r="K12" s="60"/>
      <c r="L12" s="60"/>
    </row>
    <row r="13" spans="1:21">
      <c r="A13" s="80">
        <f t="shared" si="1"/>
        <v>13</v>
      </c>
      <c r="B13" s="82" t="str">
        <f t="shared" si="2"/>
        <v xml:space="preserve">         1100 Accounts Receivable (A/R)</v>
      </c>
      <c r="C13" s="46"/>
      <c r="D13" s="46"/>
      <c r="E13" s="46"/>
      <c r="F13" s="46"/>
      <c r="G13" s="46"/>
      <c r="H13" s="46"/>
      <c r="I13" s="205" t="s">
        <v>70</v>
      </c>
      <c r="J13" s="207">
        <f>35946.05</f>
        <v>35946.050000000003</v>
      </c>
      <c r="K13" s="60"/>
      <c r="L13" s="60"/>
    </row>
    <row r="14" spans="1:21">
      <c r="A14" s="80">
        <f t="shared" si="1"/>
        <v>14</v>
      </c>
      <c r="B14" s="82" t="str">
        <f t="shared" si="2"/>
        <v xml:space="preserve">      Total Accounts Receivable</v>
      </c>
      <c r="C14" s="46"/>
      <c r="D14" s="46"/>
      <c r="E14" s="46"/>
      <c r="F14" s="46"/>
      <c r="G14" s="46"/>
      <c r="H14" s="46"/>
      <c r="I14" s="205" t="s">
        <v>5</v>
      </c>
      <c r="J14" s="208">
        <f>J13</f>
        <v>35946.050000000003</v>
      </c>
      <c r="K14" s="60"/>
      <c r="L14" s="60"/>
    </row>
    <row r="15" spans="1:21">
      <c r="A15" s="80">
        <f t="shared" si="1"/>
        <v>15</v>
      </c>
      <c r="B15" s="82" t="str">
        <f t="shared" si="2"/>
        <v xml:space="preserve">      Other Current Assets</v>
      </c>
      <c r="C15" s="46"/>
      <c r="D15" s="46"/>
      <c r="E15" s="46"/>
      <c r="F15" s="46"/>
      <c r="G15" s="46"/>
      <c r="H15" s="46"/>
      <c r="I15" s="205" t="s">
        <v>198</v>
      </c>
      <c r="J15" s="206"/>
      <c r="K15" s="60"/>
      <c r="L15" s="60"/>
    </row>
    <row r="16" spans="1:21">
      <c r="A16" s="80">
        <f t="shared" si="1"/>
        <v>16</v>
      </c>
      <c r="B16" s="82" t="str">
        <f t="shared" si="2"/>
        <v xml:space="preserve">         1300 Prepaid Expenses</v>
      </c>
      <c r="C16" s="46"/>
      <c r="D16" s="46"/>
      <c r="E16" s="46"/>
      <c r="F16" s="46"/>
      <c r="G16" s="46"/>
      <c r="H16" s="46"/>
      <c r="I16" s="205" t="s">
        <v>9</v>
      </c>
      <c r="J16" s="207">
        <f>219.5</f>
        <v>219.5</v>
      </c>
      <c r="K16" s="60"/>
      <c r="L16" s="60"/>
    </row>
    <row r="17" spans="1:12">
      <c r="A17" s="80">
        <f t="shared" si="1"/>
        <v>17</v>
      </c>
      <c r="B17" s="82" t="str">
        <f t="shared" si="2"/>
        <v xml:space="preserve">         1900 Undeposited Funds</v>
      </c>
      <c r="C17" s="46"/>
      <c r="D17" s="46"/>
      <c r="E17" s="46"/>
      <c r="F17" s="46"/>
      <c r="G17" s="46"/>
      <c r="H17" s="46"/>
      <c r="I17" s="205" t="s">
        <v>7</v>
      </c>
      <c r="J17" s="207">
        <f>0</f>
        <v>0</v>
      </c>
      <c r="K17" s="60"/>
      <c r="L17" s="60"/>
    </row>
    <row r="18" spans="1:12">
      <c r="A18" s="80">
        <f t="shared" si="1"/>
        <v>18</v>
      </c>
      <c r="B18" s="82" t="str">
        <f t="shared" si="2"/>
        <v xml:space="preserve">      Total Other Current Assets</v>
      </c>
      <c r="C18" s="46"/>
      <c r="D18" s="46"/>
      <c r="E18" s="46"/>
      <c r="F18" s="46"/>
      <c r="G18" s="46"/>
      <c r="H18" s="46"/>
      <c r="I18" s="205" t="s">
        <v>199</v>
      </c>
      <c r="J18" s="208">
        <f>(J16)+(J17)</f>
        <v>219.5</v>
      </c>
      <c r="K18" s="60"/>
      <c r="L18" s="60"/>
    </row>
    <row r="19" spans="1:12">
      <c r="A19" s="80">
        <f t="shared" si="1"/>
        <v>19</v>
      </c>
      <c r="B19" s="82" t="str">
        <f t="shared" si="2"/>
        <v xml:space="preserve">   Total Current Assets</v>
      </c>
      <c r="C19" s="46"/>
      <c r="D19" s="46"/>
      <c r="E19" s="46"/>
      <c r="F19" s="46"/>
      <c r="G19" s="46"/>
      <c r="H19" s="46"/>
      <c r="I19" s="205" t="s">
        <v>110</v>
      </c>
      <c r="J19" s="208">
        <f>((J11)+(J14))+(J18)</f>
        <v>107640.39</v>
      </c>
      <c r="K19" s="60"/>
      <c r="L19" s="60"/>
    </row>
    <row r="20" spans="1:12">
      <c r="A20" s="80">
        <f t="shared" si="1"/>
        <v>20</v>
      </c>
      <c r="B20" s="82" t="str">
        <f t="shared" si="2"/>
        <v xml:space="preserve">   Fixed Assets</v>
      </c>
      <c r="C20" s="46"/>
      <c r="D20" s="46"/>
      <c r="E20" s="46"/>
      <c r="F20" s="46"/>
      <c r="G20" s="46"/>
      <c r="H20" s="46"/>
      <c r="I20" s="205" t="s">
        <v>200</v>
      </c>
      <c r="J20" s="206"/>
      <c r="K20" s="60"/>
      <c r="L20" s="60"/>
    </row>
    <row r="21" spans="1:12">
      <c r="A21" s="80">
        <f t="shared" si="1"/>
        <v>21</v>
      </c>
      <c r="B21" s="82" t="str">
        <f t="shared" si="2"/>
        <v xml:space="preserve">      1410 Office Equipment</v>
      </c>
      <c r="C21" s="46"/>
      <c r="D21" s="46"/>
      <c r="E21" s="46"/>
      <c r="F21" s="46"/>
      <c r="G21" s="46"/>
      <c r="H21" s="46"/>
      <c r="I21" s="205" t="s">
        <v>201</v>
      </c>
      <c r="J21" s="207">
        <f>2594.81</f>
        <v>2594.81</v>
      </c>
      <c r="K21" s="60"/>
      <c r="L21" s="60"/>
    </row>
    <row r="22" spans="1:12">
      <c r="A22" s="80">
        <f t="shared" si="1"/>
        <v>22</v>
      </c>
      <c r="B22" s="82" t="str">
        <f t="shared" si="2"/>
        <v xml:space="preserve">      1490 Accumulated Depreciation</v>
      </c>
      <c r="C22" s="46"/>
      <c r="D22" s="46"/>
      <c r="E22" s="46"/>
      <c r="F22" s="46"/>
      <c r="G22" s="46"/>
      <c r="H22" s="46"/>
      <c r="I22" s="205" t="s">
        <v>348</v>
      </c>
      <c r="J22" s="207">
        <f>-72.08</f>
        <v>-72.08</v>
      </c>
      <c r="K22" s="60"/>
      <c r="L22" s="60"/>
    </row>
    <row r="23" spans="1:12">
      <c r="A23" s="80">
        <f t="shared" si="1"/>
        <v>23</v>
      </c>
      <c r="B23" s="82" t="str">
        <f t="shared" si="2"/>
        <v xml:space="preserve">      1500 Mobile App</v>
      </c>
      <c r="C23" s="46"/>
      <c r="D23" s="46"/>
      <c r="E23" s="46"/>
      <c r="F23" s="46"/>
      <c r="G23" s="46"/>
      <c r="H23" s="46"/>
      <c r="I23" s="205" t="s">
        <v>207</v>
      </c>
      <c r="J23" s="207">
        <f>37579</f>
        <v>37579</v>
      </c>
      <c r="K23" s="60"/>
      <c r="L23" s="60"/>
    </row>
    <row r="24" spans="1:12">
      <c r="A24" s="80">
        <f t="shared" si="1"/>
        <v>24</v>
      </c>
      <c r="B24" s="82" t="str">
        <f t="shared" si="2"/>
        <v xml:space="preserve">      1510 Trademark</v>
      </c>
      <c r="C24" s="46"/>
      <c r="D24" s="46"/>
      <c r="E24" s="46"/>
      <c r="F24" s="46"/>
      <c r="G24" s="46"/>
      <c r="H24" s="46"/>
      <c r="I24" s="205" t="s">
        <v>208</v>
      </c>
      <c r="J24" s="207">
        <f>1300</f>
        <v>1300</v>
      </c>
      <c r="K24" s="60"/>
      <c r="L24" s="60"/>
    </row>
    <row r="25" spans="1:12">
      <c r="A25" s="80">
        <f t="shared" si="1"/>
        <v>25</v>
      </c>
      <c r="B25" s="82" t="str">
        <f t="shared" si="2"/>
        <v xml:space="preserve">      1590 Accumulated Amortization</v>
      </c>
      <c r="C25" s="46"/>
      <c r="D25" s="46"/>
      <c r="E25" s="46"/>
      <c r="F25" s="46"/>
      <c r="G25" s="46"/>
      <c r="H25" s="46"/>
      <c r="I25" s="205" t="s">
        <v>209</v>
      </c>
      <c r="J25" s="207">
        <f>-16710.55</f>
        <v>-16710.55</v>
      </c>
      <c r="K25" s="60"/>
      <c r="L25" s="60"/>
    </row>
    <row r="26" spans="1:12">
      <c r="A26" s="80">
        <f t="shared" si="1"/>
        <v>26</v>
      </c>
      <c r="B26" s="82" t="str">
        <f t="shared" si="2"/>
        <v xml:space="preserve">   Total Fixed Assets</v>
      </c>
      <c r="C26" s="46"/>
      <c r="D26" s="46"/>
      <c r="E26" s="46"/>
      <c r="F26" s="46"/>
      <c r="G26" s="46"/>
      <c r="H26" s="46"/>
      <c r="I26" s="205" t="s">
        <v>202</v>
      </c>
      <c r="J26" s="208">
        <f>((((J21)+(J22))+(J23))+(J24))+(J25)</f>
        <v>24691.180000000004</v>
      </c>
      <c r="K26" s="60"/>
      <c r="L26" s="60"/>
    </row>
    <row r="27" spans="1:12">
      <c r="A27" s="80">
        <f t="shared" si="1"/>
        <v>27</v>
      </c>
      <c r="B27" s="82" t="str">
        <f t="shared" si="2"/>
        <v xml:space="preserve">   Other Assets</v>
      </c>
      <c r="C27" s="46"/>
      <c r="D27" s="46"/>
      <c r="E27" s="46"/>
      <c r="F27" s="46"/>
      <c r="G27" s="46"/>
      <c r="H27" s="46"/>
      <c r="I27" s="205" t="s">
        <v>111</v>
      </c>
      <c r="J27" s="206"/>
      <c r="K27" s="60"/>
      <c r="L27" s="60"/>
    </row>
    <row r="28" spans="1:12">
      <c r="A28" s="80">
        <f t="shared" si="1"/>
        <v>28</v>
      </c>
      <c r="B28" s="82" t="str">
        <f t="shared" si="2"/>
        <v xml:space="preserve">      1800 Security Deposits</v>
      </c>
      <c r="C28" s="46"/>
      <c r="D28" s="46"/>
      <c r="E28" s="46"/>
      <c r="F28" s="46"/>
      <c r="G28" s="46"/>
      <c r="H28" s="46"/>
      <c r="I28" s="205" t="s">
        <v>11</v>
      </c>
      <c r="J28" s="207">
        <f>1800</f>
        <v>1800</v>
      </c>
      <c r="K28" s="60"/>
      <c r="L28" s="60"/>
    </row>
    <row r="29" spans="1:12">
      <c r="A29" s="80">
        <f t="shared" si="1"/>
        <v>29</v>
      </c>
      <c r="B29" s="82" t="str">
        <f t="shared" si="2"/>
        <v xml:space="preserve">   Total Other Assets</v>
      </c>
      <c r="C29" s="46"/>
      <c r="D29" s="46"/>
      <c r="E29" s="46"/>
      <c r="F29" s="46"/>
      <c r="G29" s="46"/>
      <c r="H29" s="46"/>
      <c r="I29" s="205" t="s">
        <v>112</v>
      </c>
      <c r="J29" s="208">
        <f>J28</f>
        <v>1800</v>
      </c>
      <c r="K29" s="60"/>
      <c r="L29" s="60"/>
    </row>
    <row r="30" spans="1:12">
      <c r="A30" s="80">
        <f t="shared" si="1"/>
        <v>30</v>
      </c>
      <c r="B30" s="82" t="str">
        <f t="shared" si="2"/>
        <v>TOTAL ASSETS</v>
      </c>
      <c r="C30" s="46"/>
      <c r="D30" s="46"/>
      <c r="E30" s="46"/>
      <c r="F30" s="46"/>
      <c r="G30" s="46"/>
      <c r="H30" s="46"/>
      <c r="I30" s="205" t="s">
        <v>113</v>
      </c>
      <c r="J30" s="208">
        <f>((J19)+(J26))+(J29)</f>
        <v>134131.57</v>
      </c>
      <c r="K30" s="60"/>
      <c r="L30" s="60"/>
    </row>
    <row r="31" spans="1:12">
      <c r="A31" s="80">
        <f t="shared" si="1"/>
        <v>31</v>
      </c>
      <c r="B31" s="82" t="str">
        <f t="shared" si="2"/>
        <v>LIABILITIES AND EQUITY</v>
      </c>
      <c r="C31" s="46"/>
      <c r="D31" s="46"/>
      <c r="E31" s="46"/>
      <c r="F31" s="46"/>
      <c r="G31" s="46"/>
      <c r="H31" s="46"/>
      <c r="I31" s="205" t="s">
        <v>114</v>
      </c>
      <c r="J31" s="206"/>
      <c r="K31" s="60"/>
      <c r="L31" s="60"/>
    </row>
    <row r="32" spans="1:12">
      <c r="A32" s="80">
        <f t="shared" si="1"/>
        <v>32</v>
      </c>
      <c r="B32" s="82" t="str">
        <f t="shared" si="2"/>
        <v xml:space="preserve">   Liabilities</v>
      </c>
      <c r="C32" s="46"/>
      <c r="D32" s="46"/>
      <c r="E32" s="46"/>
      <c r="F32" s="46"/>
      <c r="G32" s="46"/>
      <c r="H32" s="46"/>
      <c r="I32" s="205" t="s">
        <v>115</v>
      </c>
      <c r="J32" s="206"/>
      <c r="K32" s="60"/>
      <c r="L32" s="60"/>
    </row>
    <row r="33" spans="1:12">
      <c r="A33" s="80">
        <f t="shared" si="1"/>
        <v>33</v>
      </c>
      <c r="B33" s="82" t="str">
        <f t="shared" si="2"/>
        <v xml:space="preserve">      Current Liabilities</v>
      </c>
      <c r="C33" s="46"/>
      <c r="D33" s="46"/>
      <c r="E33" s="46"/>
      <c r="F33" s="46"/>
      <c r="G33" s="46"/>
      <c r="H33" s="46"/>
      <c r="I33" s="205" t="s">
        <v>171</v>
      </c>
      <c r="J33" s="206"/>
      <c r="K33" s="60"/>
      <c r="L33" s="60"/>
    </row>
    <row r="34" spans="1:12">
      <c r="A34" s="80">
        <f t="shared" si="1"/>
        <v>34</v>
      </c>
      <c r="B34" s="82" t="str">
        <f t="shared" si="2"/>
        <v xml:space="preserve">         Accounts Payable</v>
      </c>
      <c r="C34" s="46"/>
      <c r="D34" s="46"/>
      <c r="E34" s="46"/>
      <c r="F34" s="46"/>
      <c r="G34" s="46"/>
      <c r="H34" s="46"/>
      <c r="I34" s="205" t="s">
        <v>172</v>
      </c>
      <c r="J34" s="206"/>
      <c r="K34" s="60"/>
      <c r="L34" s="60"/>
    </row>
    <row r="35" spans="1:12">
      <c r="A35" s="80">
        <f t="shared" si="1"/>
        <v>35</v>
      </c>
      <c r="B35" s="82" t="str">
        <f t="shared" si="2"/>
        <v xml:space="preserve">            2100 Accounts Payable (A/P)</v>
      </c>
      <c r="C35" s="46"/>
      <c r="D35" s="46"/>
      <c r="E35" s="46"/>
      <c r="F35" s="46"/>
      <c r="G35" s="46"/>
      <c r="H35" s="46"/>
      <c r="I35" s="205" t="s">
        <v>173</v>
      </c>
      <c r="J35" s="207">
        <f>0</f>
        <v>0</v>
      </c>
      <c r="K35" s="60"/>
      <c r="L35" s="60"/>
    </row>
    <row r="36" spans="1:12">
      <c r="A36" s="80">
        <f t="shared" si="1"/>
        <v>36</v>
      </c>
      <c r="B36" s="82" t="str">
        <f t="shared" si="2"/>
        <v xml:space="preserve">         Total Accounts Payable</v>
      </c>
      <c r="C36" s="46"/>
      <c r="D36" s="46"/>
      <c r="E36" s="46"/>
      <c r="F36" s="46"/>
      <c r="G36" s="46"/>
      <c r="H36" s="46"/>
      <c r="I36" s="205" t="s">
        <v>23</v>
      </c>
      <c r="J36" s="208">
        <f>J35</f>
        <v>0</v>
      </c>
      <c r="K36" s="60"/>
      <c r="L36" s="60"/>
    </row>
    <row r="37" spans="1:12">
      <c r="A37" s="80">
        <f t="shared" si="1"/>
        <v>37</v>
      </c>
      <c r="B37" s="82" t="str">
        <f t="shared" si="2"/>
        <v xml:space="preserve">         Other Current Liabilities</v>
      </c>
      <c r="C37" s="46"/>
      <c r="D37" s="46"/>
      <c r="E37" s="46"/>
      <c r="F37" s="46"/>
      <c r="G37" s="46"/>
      <c r="H37" s="46"/>
      <c r="I37" s="205" t="s">
        <v>174</v>
      </c>
      <c r="J37" s="206"/>
      <c r="K37" s="60"/>
      <c r="L37" s="60"/>
    </row>
    <row r="38" spans="1:12">
      <c r="A38" s="80">
        <f t="shared" si="1"/>
        <v>38</v>
      </c>
      <c r="B38" s="82" t="str">
        <f t="shared" si="2"/>
        <v xml:space="preserve">            2300 Payroll Liabilities</v>
      </c>
      <c r="C38" s="46"/>
      <c r="D38" s="46"/>
      <c r="E38" s="46"/>
      <c r="F38" s="46"/>
      <c r="G38" s="46"/>
      <c r="H38" s="46"/>
      <c r="I38" s="205" t="s">
        <v>29</v>
      </c>
      <c r="J38" s="207">
        <f>0</f>
        <v>0</v>
      </c>
      <c r="K38" s="60"/>
      <c r="L38" s="60"/>
    </row>
    <row r="39" spans="1:12">
      <c r="A39" s="80">
        <f t="shared" si="1"/>
        <v>39</v>
      </c>
      <c r="B39" s="82" t="str">
        <f t="shared" si="2"/>
        <v xml:space="preserve">               2310 Federal Taxes (941/944)</v>
      </c>
      <c r="C39" s="46"/>
      <c r="D39" s="46"/>
      <c r="E39" s="46"/>
      <c r="F39" s="46"/>
      <c r="G39" s="46"/>
      <c r="H39" s="46"/>
      <c r="I39" s="205" t="s">
        <v>210</v>
      </c>
      <c r="J39" s="207">
        <f>0</f>
        <v>0</v>
      </c>
      <c r="K39" s="60"/>
      <c r="L39" s="60"/>
    </row>
    <row r="40" spans="1:12">
      <c r="A40" s="80">
        <f t="shared" si="1"/>
        <v>40</v>
      </c>
      <c r="B40" s="82" t="str">
        <f t="shared" si="2"/>
        <v xml:space="preserve">               2320 NYS Employment Taxes</v>
      </c>
      <c r="C40" s="46"/>
      <c r="D40" s="46"/>
      <c r="E40" s="46"/>
      <c r="F40" s="46"/>
      <c r="G40" s="46"/>
      <c r="H40" s="46"/>
      <c r="I40" s="205" t="s">
        <v>211</v>
      </c>
      <c r="J40" s="207">
        <f>0</f>
        <v>0</v>
      </c>
      <c r="K40" s="60"/>
      <c r="L40" s="60"/>
    </row>
    <row r="41" spans="1:12">
      <c r="A41" s="80">
        <f t="shared" si="1"/>
        <v>41</v>
      </c>
      <c r="B41" s="82" t="str">
        <f t="shared" si="2"/>
        <v xml:space="preserve">               2330 NYS Income Tax</v>
      </c>
      <c r="C41" s="46"/>
      <c r="D41" s="46"/>
      <c r="E41" s="46"/>
      <c r="F41" s="46"/>
      <c r="G41" s="46"/>
      <c r="H41" s="46"/>
      <c r="I41" s="205" t="s">
        <v>212</v>
      </c>
      <c r="J41" s="207">
        <f>0</f>
        <v>0</v>
      </c>
      <c r="K41" s="60"/>
      <c r="L41" s="60"/>
    </row>
    <row r="42" spans="1:12">
      <c r="A42" s="80">
        <f t="shared" si="1"/>
        <v>42</v>
      </c>
      <c r="B42" s="82" t="str">
        <f t="shared" si="2"/>
        <v xml:space="preserve">            Total 2300 Payroll Liabilities</v>
      </c>
      <c r="C42" s="46"/>
      <c r="D42" s="46"/>
      <c r="E42" s="46"/>
      <c r="F42" s="46"/>
      <c r="G42" s="46"/>
      <c r="H42" s="46"/>
      <c r="I42" s="205" t="s">
        <v>203</v>
      </c>
      <c r="J42" s="208">
        <f>(((J38)+(J39))+(J40))+(J41)</f>
        <v>0</v>
      </c>
      <c r="K42" s="60"/>
      <c r="L42" s="60"/>
    </row>
    <row r="43" spans="1:12">
      <c r="A43" s="80">
        <f t="shared" si="1"/>
        <v>43</v>
      </c>
      <c r="B43" s="82" t="str">
        <f t="shared" si="2"/>
        <v xml:space="preserve">            2400 Accrued Expenses</v>
      </c>
      <c r="C43" s="46"/>
      <c r="D43" s="46"/>
      <c r="E43" s="46"/>
      <c r="F43" s="46"/>
      <c r="G43" s="46"/>
      <c r="H43" s="46"/>
      <c r="I43" s="205" t="s">
        <v>27</v>
      </c>
      <c r="J43" s="207">
        <f>14349.48</f>
        <v>14349.48</v>
      </c>
      <c r="K43" s="60"/>
      <c r="L43" s="60"/>
    </row>
    <row r="44" spans="1:12">
      <c r="A44" s="80">
        <f t="shared" si="1"/>
        <v>44</v>
      </c>
      <c r="B44" s="82" t="str">
        <f t="shared" si="2"/>
        <v xml:space="preserve">            2900 Direct Deposit Payable</v>
      </c>
      <c r="C44" s="46"/>
      <c r="D44" s="46"/>
      <c r="E44" s="46"/>
      <c r="F44" s="46"/>
      <c r="G44" s="46"/>
      <c r="H44" s="46"/>
      <c r="I44" s="205" t="s">
        <v>213</v>
      </c>
      <c r="J44" s="207">
        <f>0</f>
        <v>0</v>
      </c>
      <c r="K44" s="60"/>
      <c r="L44" s="60"/>
    </row>
    <row r="45" spans="1:12">
      <c r="A45" s="80">
        <f t="shared" si="1"/>
        <v>45</v>
      </c>
      <c r="B45" s="82" t="str">
        <f t="shared" si="2"/>
        <v xml:space="preserve">         Total Other Current Liabilities</v>
      </c>
      <c r="C45" s="46"/>
      <c r="D45" s="46"/>
      <c r="E45" s="46"/>
      <c r="F45" s="46"/>
      <c r="G45" s="46"/>
      <c r="H45" s="46"/>
      <c r="I45" s="205" t="s">
        <v>175</v>
      </c>
      <c r="J45" s="208">
        <f>((J42)+(J43))+(J44)</f>
        <v>14349.48</v>
      </c>
      <c r="K45" s="60"/>
      <c r="L45" s="60"/>
    </row>
    <row r="46" spans="1:12">
      <c r="A46" s="80">
        <f t="shared" si="1"/>
        <v>46</v>
      </c>
      <c r="B46" s="82" t="str">
        <f t="shared" si="2"/>
        <v xml:space="preserve">      Total Current Liabilities</v>
      </c>
      <c r="C46" s="46"/>
      <c r="D46" s="46"/>
      <c r="E46" s="46"/>
      <c r="F46" s="46"/>
      <c r="G46" s="46"/>
      <c r="H46" s="46"/>
      <c r="I46" s="205" t="s">
        <v>176</v>
      </c>
      <c r="J46" s="208">
        <f>(J36)+(J45)</f>
        <v>14349.48</v>
      </c>
      <c r="K46" s="60"/>
      <c r="L46" s="60"/>
    </row>
    <row r="47" spans="1:12">
      <c r="A47" s="80">
        <f t="shared" si="1"/>
        <v>47</v>
      </c>
      <c r="B47" s="82" t="str">
        <f t="shared" si="2"/>
        <v xml:space="preserve">   Total Liabilities</v>
      </c>
      <c r="C47" s="46"/>
      <c r="D47" s="46"/>
      <c r="E47" s="46"/>
      <c r="F47" s="46"/>
      <c r="G47" s="46"/>
      <c r="H47" s="46"/>
      <c r="I47" s="205" t="s">
        <v>116</v>
      </c>
      <c r="J47" s="208">
        <f>J46</f>
        <v>14349.48</v>
      </c>
      <c r="K47" s="60"/>
      <c r="L47" s="60"/>
    </row>
    <row r="48" spans="1:12">
      <c r="A48" s="80">
        <f t="shared" si="1"/>
        <v>48</v>
      </c>
      <c r="B48" s="82" t="str">
        <f t="shared" si="2"/>
        <v xml:space="preserve">   Equity</v>
      </c>
      <c r="C48" s="46"/>
      <c r="D48" s="46"/>
      <c r="E48" s="46"/>
      <c r="F48" s="46"/>
      <c r="G48" s="46"/>
      <c r="H48" s="46"/>
      <c r="I48" s="205" t="s">
        <v>117</v>
      </c>
      <c r="J48" s="206"/>
      <c r="K48" s="60"/>
      <c r="L48" s="60"/>
    </row>
    <row r="49" spans="1:12">
      <c r="A49" s="80">
        <f t="shared" si="1"/>
        <v>49</v>
      </c>
      <c r="B49" s="82" t="str">
        <f t="shared" si="2"/>
        <v xml:space="preserve">      3000 Unrestricted Net Assets</v>
      </c>
      <c r="C49" s="46"/>
      <c r="D49" s="46"/>
      <c r="E49" s="46"/>
      <c r="F49" s="46"/>
      <c r="G49" s="46"/>
      <c r="H49" s="46"/>
      <c r="I49" s="205" t="s">
        <v>39</v>
      </c>
      <c r="J49" s="207">
        <f>58241.12</f>
        <v>58241.120000000003</v>
      </c>
      <c r="K49" s="60"/>
      <c r="L49" s="60"/>
    </row>
    <row r="50" spans="1:12" s="30" customFormat="1">
      <c r="A50" s="80">
        <f t="shared" si="1"/>
        <v>50</v>
      </c>
      <c r="B50" s="82" t="str">
        <f t="shared" si="2"/>
        <v xml:space="preserve">      Net Revenue</v>
      </c>
      <c r="C50" s="46"/>
      <c r="D50" s="46"/>
      <c r="E50" s="46"/>
      <c r="F50" s="46"/>
      <c r="G50" s="46"/>
      <c r="H50" s="46"/>
      <c r="I50" s="205" t="s">
        <v>118</v>
      </c>
      <c r="J50" s="207">
        <f>61540.97</f>
        <v>61540.97</v>
      </c>
      <c r="K50" s="61"/>
      <c r="L50" s="61"/>
    </row>
    <row r="51" spans="1:12">
      <c r="A51" s="80">
        <f t="shared" si="1"/>
        <v>51</v>
      </c>
      <c r="B51" s="82" t="str">
        <f t="shared" si="2"/>
        <v xml:space="preserve">   Total Equity</v>
      </c>
      <c r="C51" s="46"/>
      <c r="D51" s="46"/>
      <c r="E51" s="46"/>
      <c r="F51" s="46"/>
      <c r="G51" s="46"/>
      <c r="H51" s="46"/>
      <c r="I51" s="205" t="s">
        <v>40</v>
      </c>
      <c r="J51" s="208">
        <f>(J49)+(J50)</f>
        <v>119782.09</v>
      </c>
      <c r="K51" s="60"/>
      <c r="L51" s="60"/>
    </row>
    <row r="52" spans="1:12">
      <c r="A52" s="80">
        <f t="shared" si="1"/>
        <v>52</v>
      </c>
      <c r="B52" s="82" t="str">
        <f t="shared" si="2"/>
        <v>TOTAL LIABILITIES AND EQUITY</v>
      </c>
      <c r="C52" s="46"/>
      <c r="D52" s="46"/>
      <c r="E52" s="46"/>
      <c r="F52" s="46"/>
      <c r="G52" s="46"/>
      <c r="H52" s="46"/>
      <c r="I52" s="205" t="s">
        <v>119</v>
      </c>
      <c r="J52" s="208">
        <f>(J47)+(J51)</f>
        <v>134131.57</v>
      </c>
      <c r="K52" s="60"/>
      <c r="L52" s="60"/>
    </row>
    <row r="53" spans="1:12">
      <c r="A53" s="80">
        <f t="shared" si="1"/>
        <v>53</v>
      </c>
      <c r="B53" s="82" t="str">
        <f t="shared" si="2"/>
        <v/>
      </c>
      <c r="C53" s="46"/>
      <c r="D53" s="46"/>
      <c r="E53" s="46"/>
      <c r="F53" s="46"/>
      <c r="G53" s="46"/>
      <c r="H53" s="46"/>
      <c r="I53" s="65"/>
      <c r="J53" s="67"/>
      <c r="K53" s="60"/>
      <c r="L53" s="60"/>
    </row>
    <row r="54" spans="1:12">
      <c r="A54" s="80">
        <f t="shared" si="1"/>
        <v>54</v>
      </c>
      <c r="B54" s="82" t="str">
        <f t="shared" si="2"/>
        <v/>
      </c>
      <c r="C54" s="46"/>
      <c r="D54" s="46"/>
      <c r="E54" s="46"/>
      <c r="F54" s="46"/>
      <c r="G54" s="46"/>
      <c r="H54" s="46"/>
      <c r="I54" s="65"/>
      <c r="J54" s="66"/>
      <c r="K54" s="60"/>
      <c r="L54" s="60"/>
    </row>
    <row r="55" spans="1:12">
      <c r="A55" s="80">
        <f t="shared" si="1"/>
        <v>55</v>
      </c>
      <c r="B55" s="82" t="str">
        <f t="shared" si="2"/>
        <v/>
      </c>
      <c r="C55" s="46"/>
      <c r="D55" s="46"/>
      <c r="E55" s="46"/>
      <c r="F55" s="46"/>
      <c r="G55" s="46"/>
      <c r="H55" s="46"/>
      <c r="I55" s="65"/>
      <c r="J55" s="66"/>
      <c r="K55" s="60"/>
      <c r="L55" s="60"/>
    </row>
    <row r="56" spans="1:12">
      <c r="A56" s="80">
        <f t="shared" si="1"/>
        <v>56</v>
      </c>
      <c r="B56" s="82" t="str">
        <f t="shared" si="2"/>
        <v/>
      </c>
      <c r="C56" s="46"/>
      <c r="D56" s="46"/>
      <c r="E56" s="46"/>
      <c r="F56" s="46"/>
      <c r="G56" s="46"/>
      <c r="H56" s="46"/>
      <c r="I56" s="65"/>
      <c r="J56" s="66"/>
      <c r="K56" s="60"/>
      <c r="L56" s="60"/>
    </row>
    <row r="57" spans="1:12">
      <c r="A57" s="80">
        <f t="shared" si="1"/>
        <v>57</v>
      </c>
      <c r="B57" s="82" t="str">
        <f t="shared" si="2"/>
        <v/>
      </c>
      <c r="C57" s="46"/>
      <c r="D57" s="46"/>
      <c r="E57" s="46"/>
      <c r="F57" s="46"/>
      <c r="G57" s="46"/>
      <c r="H57" s="46"/>
      <c r="I57" s="65"/>
      <c r="J57" s="66"/>
      <c r="K57" s="60"/>
      <c r="L57" s="60"/>
    </row>
    <row r="58" spans="1:12">
      <c r="A58" s="80">
        <f t="shared" si="1"/>
        <v>58</v>
      </c>
      <c r="B58" s="82" t="str">
        <f t="shared" si="2"/>
        <v/>
      </c>
      <c r="C58" s="46"/>
      <c r="D58" s="46"/>
      <c r="E58" s="46"/>
      <c r="F58" s="46"/>
      <c r="G58" s="46"/>
      <c r="H58" s="46"/>
      <c r="I58" s="65"/>
      <c r="J58" s="67"/>
      <c r="K58" s="60"/>
      <c r="L58" s="60"/>
    </row>
    <row r="59" spans="1:12">
      <c r="A59" s="80">
        <f t="shared" si="1"/>
        <v>59</v>
      </c>
      <c r="B59" s="82" t="str">
        <f t="shared" si="2"/>
        <v/>
      </c>
      <c r="C59" s="46"/>
      <c r="D59" s="46"/>
      <c r="E59" s="46"/>
      <c r="F59" s="46"/>
      <c r="G59" s="46"/>
      <c r="H59" s="46"/>
      <c r="I59" s="65"/>
      <c r="J59" s="68"/>
      <c r="K59" s="60"/>
      <c r="L59" s="60"/>
    </row>
    <row r="60" spans="1:12">
      <c r="A60" s="80">
        <f t="shared" si="1"/>
        <v>60</v>
      </c>
      <c r="B60" s="82" t="str">
        <f t="shared" si="2"/>
        <v/>
      </c>
      <c r="C60" s="46"/>
      <c r="D60" s="46"/>
      <c r="E60" s="46"/>
      <c r="F60" s="46"/>
      <c r="G60" s="46"/>
      <c r="H60" s="46"/>
      <c r="I60" s="65"/>
      <c r="J60" s="68"/>
      <c r="K60" s="60"/>
      <c r="L60" s="60"/>
    </row>
    <row r="61" spans="1:12">
      <c r="A61" s="80">
        <f t="shared" si="1"/>
        <v>61</v>
      </c>
      <c r="B61" s="82" t="str">
        <f t="shared" si="2"/>
        <v/>
      </c>
      <c r="C61" s="46"/>
      <c r="D61" s="46"/>
      <c r="E61" s="46"/>
      <c r="F61" s="46"/>
      <c r="G61" s="46"/>
      <c r="H61" s="46"/>
      <c r="I61" s="65"/>
      <c r="J61" s="66"/>
      <c r="K61" s="60"/>
      <c r="L61" s="60"/>
    </row>
    <row r="62" spans="1:12">
      <c r="A62" s="80">
        <f t="shared" si="1"/>
        <v>62</v>
      </c>
      <c r="B62" s="82" t="str">
        <f t="shared" si="2"/>
        <v/>
      </c>
      <c r="C62" s="46"/>
      <c r="D62" s="46"/>
      <c r="E62" s="46"/>
      <c r="F62" s="46"/>
      <c r="G62" s="46"/>
      <c r="H62" s="46"/>
      <c r="I62" s="46"/>
      <c r="J62" s="47"/>
      <c r="K62" s="60"/>
      <c r="L62" s="60"/>
    </row>
    <row r="63" spans="1:12">
      <c r="A63" s="80">
        <f t="shared" si="1"/>
        <v>63</v>
      </c>
      <c r="B63" s="82" t="str">
        <f t="shared" si="2"/>
        <v/>
      </c>
      <c r="C63" s="46"/>
      <c r="D63" s="46"/>
      <c r="E63" s="46"/>
      <c r="F63" s="46"/>
      <c r="G63" s="46"/>
      <c r="H63" s="46"/>
      <c r="I63" s="46"/>
      <c r="J63" s="47"/>
      <c r="K63" s="60"/>
      <c r="L63" s="60"/>
    </row>
    <row r="64" spans="1:12">
      <c r="A64" s="80">
        <f t="shared" si="1"/>
        <v>64</v>
      </c>
      <c r="B64" s="82" t="str">
        <f t="shared" si="2"/>
        <v/>
      </c>
      <c r="C64" s="46"/>
      <c r="D64" s="46"/>
      <c r="E64" s="46"/>
      <c r="F64" s="46"/>
      <c r="G64" s="46"/>
      <c r="H64" s="46"/>
      <c r="I64" s="46"/>
      <c r="J64" s="47"/>
      <c r="K64" s="60"/>
      <c r="L64" s="60"/>
    </row>
    <row r="65" spans="1:12">
      <c r="A65" s="80">
        <f t="shared" si="1"/>
        <v>65</v>
      </c>
      <c r="B65" s="82" t="str">
        <f t="shared" si="2"/>
        <v/>
      </c>
      <c r="C65" s="46"/>
      <c r="D65" s="46"/>
      <c r="E65" s="46"/>
      <c r="F65" s="46"/>
      <c r="G65" s="46"/>
      <c r="H65" s="46"/>
      <c r="I65" s="46"/>
      <c r="J65" s="47"/>
      <c r="K65" s="60"/>
      <c r="L65" s="60"/>
    </row>
    <row r="66" spans="1:12">
      <c r="A66" s="80">
        <f t="shared" si="1"/>
        <v>66</v>
      </c>
      <c r="B66" s="82" t="str">
        <f t="shared" si="2"/>
        <v/>
      </c>
      <c r="C66" s="46"/>
      <c r="D66" s="46"/>
      <c r="E66" s="46"/>
      <c r="F66" s="46"/>
      <c r="G66" s="46"/>
      <c r="H66" s="46"/>
      <c r="I66" s="46"/>
      <c r="J66" s="47"/>
      <c r="K66" s="60"/>
      <c r="L66" s="60"/>
    </row>
    <row r="67" spans="1:12">
      <c r="A67" s="80">
        <f t="shared" ref="A67:A100" si="3">A66+1</f>
        <v>67</v>
      </c>
      <c r="B67" s="82" t="str">
        <f t="shared" si="2"/>
        <v/>
      </c>
      <c r="C67" s="46"/>
      <c r="D67" s="46"/>
      <c r="E67" s="46"/>
      <c r="F67" s="46"/>
      <c r="G67" s="46"/>
      <c r="H67" s="46"/>
      <c r="I67" s="46"/>
      <c r="J67" s="47"/>
      <c r="K67" s="60"/>
      <c r="L67" s="60"/>
    </row>
    <row r="68" spans="1:12">
      <c r="A68" s="80">
        <f t="shared" si="3"/>
        <v>68</v>
      </c>
      <c r="B68" s="82" t="str">
        <f t="shared" si="2"/>
        <v/>
      </c>
      <c r="C68" s="46"/>
      <c r="D68" s="46"/>
      <c r="E68" s="46"/>
      <c r="F68" s="46"/>
      <c r="G68" s="46"/>
      <c r="H68" s="46"/>
      <c r="I68" s="46"/>
      <c r="J68" s="47"/>
      <c r="K68" s="60"/>
      <c r="L68" s="60"/>
    </row>
    <row r="69" spans="1:12">
      <c r="A69" s="80">
        <f t="shared" si="3"/>
        <v>69</v>
      </c>
      <c r="B69" s="82" t="str">
        <f t="shared" ref="B69:B100" si="4">C69&amp;D69&amp;E69&amp;F69&amp;G69&amp;H69&amp;I69</f>
        <v/>
      </c>
      <c r="C69" s="46"/>
      <c r="D69" s="46"/>
      <c r="E69" s="46"/>
      <c r="F69" s="46"/>
      <c r="G69" s="46"/>
      <c r="H69" s="46"/>
      <c r="I69" s="46"/>
      <c r="J69" s="47"/>
      <c r="K69" s="60"/>
      <c r="L69" s="60"/>
    </row>
    <row r="70" spans="1:12">
      <c r="A70" s="80">
        <f t="shared" si="3"/>
        <v>70</v>
      </c>
      <c r="B70" s="82" t="str">
        <f t="shared" si="4"/>
        <v/>
      </c>
      <c r="C70" s="46"/>
      <c r="D70" s="46"/>
      <c r="E70" s="46"/>
      <c r="F70" s="46"/>
      <c r="G70" s="46"/>
      <c r="H70" s="46"/>
      <c r="I70" s="46"/>
      <c r="J70" s="47"/>
      <c r="K70" s="60"/>
      <c r="L70" s="60"/>
    </row>
    <row r="71" spans="1:12">
      <c r="A71" s="80">
        <f t="shared" si="3"/>
        <v>71</v>
      </c>
      <c r="B71" s="82" t="str">
        <f t="shared" si="4"/>
        <v/>
      </c>
      <c r="C71" s="46"/>
      <c r="D71" s="46"/>
      <c r="E71" s="46"/>
      <c r="F71" s="46"/>
      <c r="G71" s="46"/>
      <c r="H71" s="46"/>
      <c r="I71" s="46"/>
      <c r="J71" s="47"/>
      <c r="K71" s="60"/>
      <c r="L71" s="60"/>
    </row>
    <row r="72" spans="1:12">
      <c r="A72" s="80">
        <f t="shared" si="3"/>
        <v>72</v>
      </c>
      <c r="B72" s="82" t="str">
        <f t="shared" si="4"/>
        <v/>
      </c>
      <c r="C72" s="46"/>
      <c r="D72" s="46"/>
      <c r="E72" s="46"/>
      <c r="F72" s="46"/>
      <c r="G72" s="46"/>
      <c r="H72" s="46"/>
      <c r="I72" s="46"/>
      <c r="J72" s="47"/>
      <c r="K72" s="60"/>
      <c r="L72" s="60"/>
    </row>
    <row r="73" spans="1:12">
      <c r="A73" s="80">
        <f t="shared" si="3"/>
        <v>73</v>
      </c>
      <c r="B73" s="82" t="str">
        <f t="shared" si="4"/>
        <v/>
      </c>
      <c r="C73" s="46"/>
      <c r="D73" s="46"/>
      <c r="E73" s="46"/>
      <c r="F73" s="46"/>
      <c r="G73" s="46"/>
      <c r="H73" s="46"/>
      <c r="I73" s="46"/>
      <c r="J73" s="47"/>
      <c r="K73" s="60"/>
      <c r="L73" s="60"/>
    </row>
    <row r="74" spans="1:12">
      <c r="A74" s="80">
        <f t="shared" si="3"/>
        <v>74</v>
      </c>
      <c r="B74" s="82" t="str">
        <f t="shared" si="4"/>
        <v/>
      </c>
      <c r="C74" s="46"/>
      <c r="D74" s="46"/>
      <c r="E74" s="46"/>
      <c r="F74" s="46"/>
      <c r="G74" s="46"/>
      <c r="H74" s="46"/>
      <c r="I74" s="46"/>
      <c r="J74" s="47"/>
      <c r="K74" s="60"/>
      <c r="L74" s="60"/>
    </row>
    <row r="75" spans="1:12">
      <c r="A75" s="80">
        <f t="shared" si="3"/>
        <v>75</v>
      </c>
      <c r="B75" s="82" t="str">
        <f t="shared" si="4"/>
        <v/>
      </c>
      <c r="C75" s="46"/>
      <c r="D75" s="46"/>
      <c r="E75" s="46"/>
      <c r="F75" s="46"/>
      <c r="G75" s="46"/>
      <c r="H75" s="46"/>
      <c r="I75" s="46"/>
      <c r="J75" s="47"/>
      <c r="K75" s="60"/>
      <c r="L75" s="60"/>
    </row>
    <row r="76" spans="1:12">
      <c r="A76" s="80">
        <f t="shared" si="3"/>
        <v>76</v>
      </c>
      <c r="B76" s="82" t="str">
        <f t="shared" si="4"/>
        <v/>
      </c>
      <c r="C76" s="46"/>
      <c r="D76" s="46"/>
      <c r="E76" s="46"/>
      <c r="F76" s="46"/>
      <c r="G76" s="46"/>
      <c r="H76" s="46"/>
      <c r="I76" s="46"/>
      <c r="J76" s="47"/>
      <c r="K76" s="60"/>
      <c r="L76" s="60"/>
    </row>
    <row r="77" spans="1:12">
      <c r="A77" s="80">
        <f t="shared" si="3"/>
        <v>77</v>
      </c>
      <c r="B77" s="82" t="str">
        <f t="shared" si="4"/>
        <v/>
      </c>
      <c r="C77" s="46"/>
      <c r="D77" s="46"/>
      <c r="E77" s="46"/>
      <c r="F77" s="46"/>
      <c r="G77" s="46"/>
      <c r="H77" s="46"/>
      <c r="I77" s="46"/>
      <c r="J77" s="47"/>
      <c r="K77" s="60"/>
      <c r="L77" s="60"/>
    </row>
    <row r="78" spans="1:12">
      <c r="A78" s="80">
        <f t="shared" si="3"/>
        <v>78</v>
      </c>
      <c r="B78" s="82" t="str">
        <f t="shared" si="4"/>
        <v/>
      </c>
      <c r="C78" s="46"/>
      <c r="D78" s="46"/>
      <c r="E78" s="46"/>
      <c r="F78" s="46"/>
      <c r="G78" s="46"/>
      <c r="H78" s="46"/>
      <c r="I78" s="46"/>
      <c r="J78" s="47"/>
      <c r="K78" s="60"/>
      <c r="L78" s="60"/>
    </row>
    <row r="79" spans="1:12">
      <c r="A79" s="80">
        <f t="shared" si="3"/>
        <v>79</v>
      </c>
      <c r="B79" s="82" t="str">
        <f t="shared" si="4"/>
        <v/>
      </c>
      <c r="C79" s="46"/>
      <c r="D79" s="46"/>
      <c r="E79" s="46"/>
      <c r="F79" s="46"/>
      <c r="G79" s="46"/>
      <c r="H79" s="46"/>
      <c r="I79" s="46"/>
      <c r="J79" s="47"/>
      <c r="K79" s="60"/>
      <c r="L79" s="60"/>
    </row>
    <row r="80" spans="1:12">
      <c r="A80" s="80">
        <f t="shared" si="3"/>
        <v>80</v>
      </c>
      <c r="B80" s="82" t="str">
        <f t="shared" si="4"/>
        <v/>
      </c>
      <c r="C80" s="46"/>
      <c r="D80" s="46"/>
      <c r="E80" s="46"/>
      <c r="F80" s="46"/>
      <c r="G80" s="46"/>
      <c r="H80" s="46"/>
      <c r="I80" s="46"/>
      <c r="J80" s="47"/>
      <c r="K80" s="60"/>
      <c r="L80" s="60"/>
    </row>
    <row r="81" spans="1:12">
      <c r="A81" s="80">
        <f t="shared" si="3"/>
        <v>81</v>
      </c>
      <c r="B81" s="82" t="str">
        <f t="shared" si="4"/>
        <v/>
      </c>
      <c r="C81" s="46"/>
      <c r="D81" s="46"/>
      <c r="E81" s="46"/>
      <c r="F81" s="46"/>
      <c r="G81" s="46"/>
      <c r="H81" s="46"/>
      <c r="I81" s="46"/>
      <c r="J81" s="47"/>
      <c r="K81" s="60"/>
      <c r="L81" s="60"/>
    </row>
    <row r="82" spans="1:12">
      <c r="A82" s="80">
        <f t="shared" si="3"/>
        <v>82</v>
      </c>
      <c r="B82" s="82" t="str">
        <f t="shared" si="4"/>
        <v/>
      </c>
      <c r="C82" s="46"/>
      <c r="D82" s="46"/>
      <c r="E82" s="46"/>
      <c r="F82" s="46"/>
      <c r="G82" s="46"/>
      <c r="H82" s="46"/>
      <c r="I82" s="46"/>
      <c r="J82" s="47"/>
      <c r="K82" s="60"/>
      <c r="L82" s="60"/>
    </row>
    <row r="83" spans="1:12">
      <c r="A83" s="80">
        <f t="shared" si="3"/>
        <v>83</v>
      </c>
      <c r="B83" s="82" t="str">
        <f t="shared" si="4"/>
        <v/>
      </c>
      <c r="C83" s="46"/>
      <c r="D83" s="46"/>
      <c r="E83" s="46"/>
      <c r="F83" s="46"/>
      <c r="G83" s="46"/>
      <c r="H83" s="46"/>
      <c r="I83" s="46"/>
      <c r="J83" s="47"/>
      <c r="K83" s="60"/>
      <c r="L83" s="60"/>
    </row>
    <row r="84" spans="1:12" s="30" customFormat="1">
      <c r="A84" s="80">
        <f t="shared" si="3"/>
        <v>84</v>
      </c>
      <c r="B84" s="82" t="str">
        <f t="shared" si="4"/>
        <v/>
      </c>
      <c r="C84" s="46"/>
      <c r="D84" s="46"/>
      <c r="E84" s="46"/>
      <c r="F84" s="46"/>
      <c r="G84" s="46"/>
      <c r="H84" s="46"/>
      <c r="I84" s="46"/>
      <c r="J84" s="49"/>
      <c r="K84" s="61"/>
      <c r="L84" s="61"/>
    </row>
    <row r="85" spans="1:12">
      <c r="A85" s="80">
        <f t="shared" si="3"/>
        <v>85</v>
      </c>
      <c r="B85" s="82" t="str">
        <f t="shared" si="4"/>
        <v/>
      </c>
      <c r="C85" s="62"/>
      <c r="D85" s="62"/>
      <c r="E85" s="62"/>
      <c r="F85" s="62"/>
      <c r="G85" s="62"/>
      <c r="H85" s="62"/>
      <c r="I85" s="62"/>
      <c r="J85" s="63"/>
      <c r="K85" s="60"/>
      <c r="L85" s="60"/>
    </row>
    <row r="86" spans="1:12">
      <c r="A86" s="80">
        <f t="shared" si="3"/>
        <v>86</v>
      </c>
      <c r="B86" s="82" t="str">
        <f t="shared" si="4"/>
        <v/>
      </c>
      <c r="C86" s="62"/>
      <c r="D86" s="62"/>
      <c r="E86" s="62"/>
      <c r="F86" s="62"/>
      <c r="G86" s="62"/>
      <c r="H86" s="62"/>
      <c r="I86" s="62"/>
      <c r="J86" s="63"/>
      <c r="K86" s="60"/>
      <c r="L86" s="60"/>
    </row>
    <row r="87" spans="1:12">
      <c r="A87" s="80">
        <f t="shared" si="3"/>
        <v>87</v>
      </c>
      <c r="B87" s="82" t="str">
        <f t="shared" si="4"/>
        <v/>
      </c>
      <c r="C87" s="62"/>
      <c r="D87" s="62"/>
      <c r="E87" s="62"/>
      <c r="F87" s="62"/>
      <c r="G87" s="62"/>
      <c r="H87" s="62"/>
      <c r="I87" s="62"/>
      <c r="J87" s="63"/>
      <c r="K87" s="60"/>
      <c r="L87" s="60"/>
    </row>
    <row r="88" spans="1:12">
      <c r="A88" s="80">
        <f t="shared" si="3"/>
        <v>88</v>
      </c>
      <c r="B88" s="82" t="str">
        <f t="shared" si="4"/>
        <v/>
      </c>
      <c r="C88" s="62"/>
      <c r="D88" s="62"/>
      <c r="E88" s="62"/>
      <c r="F88" s="62"/>
      <c r="G88" s="62"/>
      <c r="H88" s="62"/>
      <c r="I88" s="62"/>
      <c r="J88" s="63"/>
      <c r="K88" s="60"/>
      <c r="L88" s="60"/>
    </row>
    <row r="89" spans="1:12">
      <c r="A89" s="80">
        <f t="shared" si="3"/>
        <v>89</v>
      </c>
      <c r="B89" s="82" t="str">
        <f t="shared" si="4"/>
        <v/>
      </c>
      <c r="C89" s="62"/>
      <c r="D89" s="62"/>
      <c r="E89" s="62"/>
      <c r="F89" s="62"/>
      <c r="G89" s="62"/>
      <c r="H89" s="62"/>
      <c r="I89" s="62"/>
      <c r="J89" s="63"/>
      <c r="K89" s="60"/>
      <c r="L89" s="60"/>
    </row>
    <row r="90" spans="1:12">
      <c r="A90" s="80">
        <f t="shared" si="3"/>
        <v>90</v>
      </c>
      <c r="B90" s="82" t="str">
        <f t="shared" si="4"/>
        <v/>
      </c>
      <c r="C90" s="62"/>
      <c r="D90" s="62"/>
      <c r="E90" s="62"/>
      <c r="F90" s="62"/>
      <c r="G90" s="62"/>
      <c r="H90" s="62"/>
      <c r="I90" s="62"/>
      <c r="J90" s="63"/>
      <c r="K90" s="60"/>
      <c r="L90" s="60"/>
    </row>
    <row r="91" spans="1:12">
      <c r="A91" s="80">
        <f t="shared" si="3"/>
        <v>91</v>
      </c>
      <c r="B91" s="82" t="str">
        <f t="shared" si="4"/>
        <v/>
      </c>
      <c r="C91" s="62"/>
      <c r="D91" s="62"/>
      <c r="E91" s="62"/>
      <c r="F91" s="62"/>
      <c r="G91" s="62"/>
      <c r="H91" s="62"/>
      <c r="I91" s="62"/>
      <c r="J91" s="63"/>
      <c r="K91" s="60"/>
      <c r="L91" s="60"/>
    </row>
    <row r="92" spans="1:12">
      <c r="A92" s="80">
        <f t="shared" si="3"/>
        <v>92</v>
      </c>
      <c r="B92" s="82" t="str">
        <f t="shared" si="4"/>
        <v/>
      </c>
    </row>
    <row r="93" spans="1:12">
      <c r="A93" s="80">
        <f t="shared" si="3"/>
        <v>93</v>
      </c>
      <c r="B93" s="82" t="str">
        <f t="shared" si="4"/>
        <v/>
      </c>
    </row>
    <row r="94" spans="1:12">
      <c r="A94" s="80">
        <f t="shared" si="3"/>
        <v>94</v>
      </c>
      <c r="B94" s="82" t="str">
        <f t="shared" si="4"/>
        <v/>
      </c>
    </row>
    <row r="95" spans="1:12">
      <c r="A95" s="80">
        <f t="shared" si="3"/>
        <v>95</v>
      </c>
      <c r="B95" s="82" t="str">
        <f t="shared" si="4"/>
        <v/>
      </c>
    </row>
    <row r="96" spans="1:12">
      <c r="A96" s="80">
        <f t="shared" si="3"/>
        <v>96</v>
      </c>
      <c r="B96" s="82" t="str">
        <f t="shared" si="4"/>
        <v/>
      </c>
    </row>
    <row r="97" spans="1:2">
      <c r="A97" s="80">
        <f t="shared" si="3"/>
        <v>97</v>
      </c>
      <c r="B97" s="82" t="str">
        <f t="shared" si="4"/>
        <v/>
      </c>
    </row>
    <row r="98" spans="1:2">
      <c r="A98" s="80">
        <f t="shared" si="3"/>
        <v>98</v>
      </c>
      <c r="B98" s="82" t="str">
        <f t="shared" si="4"/>
        <v/>
      </c>
    </row>
    <row r="99" spans="1:2">
      <c r="A99" s="80">
        <f t="shared" si="3"/>
        <v>99</v>
      </c>
      <c r="B99" s="82" t="str">
        <f t="shared" si="4"/>
        <v/>
      </c>
    </row>
    <row r="100" spans="1:2">
      <c r="A100" s="80">
        <f t="shared" si="3"/>
        <v>100</v>
      </c>
      <c r="B100" s="82" t="str">
        <f t="shared" si="4"/>
        <v/>
      </c>
    </row>
  </sheetData>
  <phoneticPr fontId="10" type="noConversion"/>
  <pageMargins left="0.75" right="0.75" top="1" bottom="1" header="0.1" footer="0.5"/>
  <pageSetup orientation="portrait" horizontalDpi="0" verticalDpi="0" r:id="rId1"/>
  <headerFooter alignWithMargins="0">
    <oddHeader>&amp;L&amp;"Arial,Bold"&amp;10 5:03 PM
&amp;"Arial,Bold"&amp;10 07/11/16
&amp;"Arial,Bold"&amp;10 Accrual Basis&amp;C&amp;"Arial,Bold"&amp;10 Democracy Now! Productions, Inc.
&amp;"Arial,Bold"&amp;14 Balance Sheet
&amp;"Arial,Bold"&amp;10 As of June 30, 2016</oddHeader>
    <oddFooter>&amp;R&amp;"Arial,Bold"&amp;10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">
    <tabColor rgb="FFFFFF00"/>
  </sheetPr>
  <dimension ref="A1:U100"/>
  <sheetViews>
    <sheetView workbookViewId="0">
      <pane xSplit="9" ySplit="3" topLeftCell="J37" activePane="bottomRight" state="frozen"/>
      <selection activeCell="I3" sqref="I3:J52"/>
      <selection pane="topRight" activeCell="I3" sqref="I3:J52"/>
      <selection pane="bottomLeft" activeCell="I3" sqref="I3:J52"/>
      <selection pane="bottomRight" activeCell="I3" sqref="I3:J52"/>
    </sheetView>
  </sheetViews>
  <sheetFormatPr defaultColWidth="9.1328125" defaultRowHeight="13.15"/>
  <cols>
    <col min="1" max="1" width="9.1328125" style="81"/>
    <col min="2" max="2" width="45.3984375" style="81" customWidth="1"/>
    <col min="3" max="8" width="3" style="26" customWidth="1"/>
    <col min="9" max="9" width="39.1328125" style="26" customWidth="1"/>
    <col min="10" max="10" width="12.73046875" style="27" customWidth="1"/>
    <col min="11" max="16384" width="9.1328125" style="24"/>
  </cols>
  <sheetData>
    <row r="1" spans="1:21" s="80" customFormat="1" ht="14.25" customHeight="1">
      <c r="A1" s="80">
        <v>1</v>
      </c>
      <c r="B1" s="80">
        <f>A1+1</f>
        <v>2</v>
      </c>
      <c r="C1" s="80">
        <f t="shared" ref="C1:U1" si="0">B1+1</f>
        <v>3</v>
      </c>
      <c r="D1" s="80">
        <f t="shared" si="0"/>
        <v>4</v>
      </c>
      <c r="E1" s="80">
        <f t="shared" si="0"/>
        <v>5</v>
      </c>
      <c r="F1" s="80">
        <f t="shared" si="0"/>
        <v>6</v>
      </c>
      <c r="G1" s="80">
        <f t="shared" si="0"/>
        <v>7</v>
      </c>
      <c r="H1" s="80">
        <f t="shared" si="0"/>
        <v>8</v>
      </c>
      <c r="I1" s="80">
        <f t="shared" si="0"/>
        <v>9</v>
      </c>
      <c r="J1" s="80">
        <f t="shared" si="0"/>
        <v>10</v>
      </c>
      <c r="K1" s="80">
        <f t="shared" si="0"/>
        <v>11</v>
      </c>
      <c r="L1" s="80">
        <f t="shared" si="0"/>
        <v>12</v>
      </c>
      <c r="M1" s="80">
        <f t="shared" si="0"/>
        <v>13</v>
      </c>
      <c r="N1" s="80">
        <f t="shared" si="0"/>
        <v>14</v>
      </c>
      <c r="O1" s="80">
        <f t="shared" si="0"/>
        <v>15</v>
      </c>
      <c r="P1" s="80">
        <f t="shared" si="0"/>
        <v>16</v>
      </c>
      <c r="Q1" s="80">
        <f t="shared" si="0"/>
        <v>17</v>
      </c>
      <c r="R1" s="80">
        <f t="shared" si="0"/>
        <v>18</v>
      </c>
      <c r="S1" s="80">
        <f t="shared" si="0"/>
        <v>19</v>
      </c>
      <c r="T1" s="80">
        <f t="shared" si="0"/>
        <v>20</v>
      </c>
      <c r="U1" s="80">
        <f t="shared" si="0"/>
        <v>21</v>
      </c>
    </row>
    <row r="2" spans="1:21" s="81" customFormat="1">
      <c r="A2" s="80">
        <f>A1+1</f>
        <v>2</v>
      </c>
      <c r="C2" s="83"/>
      <c r="D2" s="83"/>
      <c r="E2" s="83"/>
      <c r="F2" s="83"/>
      <c r="G2" s="83"/>
      <c r="H2" s="83"/>
      <c r="I2" s="83"/>
      <c r="J2" s="84"/>
    </row>
    <row r="3" spans="1:21" s="23" customFormat="1" ht="14.25">
      <c r="A3" s="80">
        <f t="shared" ref="A3:A60" si="1">A2+1</f>
        <v>3</v>
      </c>
      <c r="B3" s="80" t="s">
        <v>103</v>
      </c>
      <c r="C3" s="44"/>
      <c r="D3" s="44"/>
      <c r="E3" s="44"/>
      <c r="F3" s="44"/>
      <c r="G3" s="44"/>
      <c r="H3" s="44"/>
      <c r="I3" s="64"/>
      <c r="J3" s="139" t="s">
        <v>44</v>
      </c>
      <c r="K3" s="54"/>
    </row>
    <row r="4" spans="1:21">
      <c r="A4" s="80">
        <f t="shared" si="1"/>
        <v>4</v>
      </c>
      <c r="B4" s="82" t="str">
        <f>C4&amp;D4&amp;E4&amp;F4&amp;G4&amp;H4&amp;I4</f>
        <v>ASSETS</v>
      </c>
      <c r="C4" s="46"/>
      <c r="D4" s="46"/>
      <c r="E4" s="46"/>
      <c r="F4" s="46"/>
      <c r="G4" s="46"/>
      <c r="H4" s="46"/>
      <c r="I4" s="140" t="s">
        <v>2</v>
      </c>
      <c r="J4" s="142"/>
      <c r="K4" s="55"/>
    </row>
    <row r="5" spans="1:21">
      <c r="A5" s="80">
        <f t="shared" si="1"/>
        <v>5</v>
      </c>
      <c r="B5" s="82" t="str">
        <f t="shared" ref="B5:B60" si="2">C5&amp;D5&amp;E5&amp;F5&amp;G5&amp;H5&amp;I5</f>
        <v xml:space="preserve">   Current Assets</v>
      </c>
      <c r="C5" s="46"/>
      <c r="D5" s="46"/>
      <c r="E5" s="46"/>
      <c r="F5" s="46"/>
      <c r="G5" s="46"/>
      <c r="H5" s="46"/>
      <c r="I5" s="140" t="s">
        <v>104</v>
      </c>
      <c r="J5" s="142"/>
      <c r="K5" s="55"/>
    </row>
    <row r="6" spans="1:21">
      <c r="A6" s="80">
        <f t="shared" si="1"/>
        <v>6</v>
      </c>
      <c r="B6" s="82" t="str">
        <f t="shared" si="2"/>
        <v xml:space="preserve">      Bank Accounts</v>
      </c>
      <c r="C6" s="46"/>
      <c r="D6" s="46"/>
      <c r="E6" s="46"/>
      <c r="F6" s="46"/>
      <c r="G6" s="46"/>
      <c r="H6" s="46"/>
      <c r="I6" s="140" t="s">
        <v>105</v>
      </c>
      <c r="J6" s="142"/>
      <c r="K6" s="55"/>
    </row>
    <row r="7" spans="1:21">
      <c r="A7" s="80">
        <f t="shared" si="1"/>
        <v>7</v>
      </c>
      <c r="B7" s="82" t="str">
        <f t="shared" si="2"/>
        <v xml:space="preserve">         1010 Operating Checking</v>
      </c>
      <c r="C7" s="46"/>
      <c r="D7" s="46"/>
      <c r="E7" s="46"/>
      <c r="F7" s="46"/>
      <c r="G7" s="46"/>
      <c r="H7" s="46"/>
      <c r="I7" s="140" t="s">
        <v>106</v>
      </c>
      <c r="J7" s="141">
        <f>12321.73</f>
        <v>12321.73</v>
      </c>
      <c r="K7" s="55"/>
    </row>
    <row r="8" spans="1:21">
      <c r="A8" s="80">
        <f t="shared" si="1"/>
        <v>8</v>
      </c>
      <c r="B8" s="82" t="str">
        <f t="shared" si="2"/>
        <v xml:space="preserve">         1020 Investment</v>
      </c>
      <c r="C8" s="46"/>
      <c r="D8" s="46"/>
      <c r="E8" s="46"/>
      <c r="F8" s="46"/>
      <c r="G8" s="46"/>
      <c r="H8" s="46"/>
      <c r="I8" s="140" t="s">
        <v>107</v>
      </c>
      <c r="J8" s="141">
        <f>0</f>
        <v>0</v>
      </c>
      <c r="K8" s="55"/>
    </row>
    <row r="9" spans="1:21">
      <c r="A9" s="80">
        <f t="shared" si="1"/>
        <v>9</v>
      </c>
      <c r="B9" s="82" t="str">
        <f t="shared" si="2"/>
        <v xml:space="preserve">         1030 Paypal</v>
      </c>
      <c r="C9" s="46"/>
      <c r="D9" s="46"/>
      <c r="E9" s="46"/>
      <c r="F9" s="46"/>
      <c r="G9" s="46"/>
      <c r="H9" s="46"/>
      <c r="I9" s="140" t="s">
        <v>108</v>
      </c>
      <c r="J9" s="141">
        <f>0</f>
        <v>0</v>
      </c>
      <c r="K9" s="55"/>
    </row>
    <row r="10" spans="1:21">
      <c r="A10" s="80">
        <f t="shared" si="1"/>
        <v>10</v>
      </c>
      <c r="B10" s="82" t="str">
        <f t="shared" si="2"/>
        <v xml:space="preserve">         1040 Petty Cash</v>
      </c>
      <c r="C10" s="46"/>
      <c r="D10" s="46"/>
      <c r="E10" s="46"/>
      <c r="F10" s="46"/>
      <c r="G10" s="46"/>
      <c r="H10" s="46"/>
      <c r="I10" s="140" t="s">
        <v>206</v>
      </c>
      <c r="J10" s="141">
        <f>0</f>
        <v>0</v>
      </c>
      <c r="K10" s="55"/>
    </row>
    <row r="11" spans="1:21">
      <c r="A11" s="80">
        <f t="shared" si="1"/>
        <v>11</v>
      </c>
      <c r="B11" s="82" t="str">
        <f t="shared" si="2"/>
        <v xml:space="preserve">      Total Bank Accounts</v>
      </c>
      <c r="C11" s="46"/>
      <c r="D11" s="46"/>
      <c r="E11" s="46"/>
      <c r="F11" s="46"/>
      <c r="G11" s="46"/>
      <c r="H11" s="46"/>
      <c r="I11" s="140" t="s">
        <v>3</v>
      </c>
      <c r="J11" s="143">
        <f>(((J7)+(J8))+(J9))+(J10)</f>
        <v>12321.73</v>
      </c>
      <c r="K11" s="55"/>
    </row>
    <row r="12" spans="1:21">
      <c r="A12" s="80">
        <f t="shared" si="1"/>
        <v>12</v>
      </c>
      <c r="B12" s="82" t="str">
        <f t="shared" si="2"/>
        <v xml:space="preserve">      Accounts Receivable</v>
      </c>
      <c r="C12" s="46"/>
      <c r="D12" s="46"/>
      <c r="E12" s="46"/>
      <c r="F12" s="46"/>
      <c r="G12" s="46"/>
      <c r="H12" s="46"/>
      <c r="I12" s="140" t="s">
        <v>109</v>
      </c>
      <c r="J12" s="142"/>
      <c r="K12" s="55"/>
    </row>
    <row r="13" spans="1:21">
      <c r="A13" s="80">
        <f t="shared" si="1"/>
        <v>13</v>
      </c>
      <c r="B13" s="82" t="str">
        <f t="shared" si="2"/>
        <v xml:space="preserve">         1100 Accounts Receivable (A/R)</v>
      </c>
      <c r="C13" s="46"/>
      <c r="D13" s="46"/>
      <c r="E13" s="46"/>
      <c r="F13" s="46"/>
      <c r="G13" s="46"/>
      <c r="H13" s="46"/>
      <c r="I13" s="140" t="s">
        <v>70</v>
      </c>
      <c r="J13" s="141">
        <f>17028</f>
        <v>17028</v>
      </c>
      <c r="K13" s="55"/>
    </row>
    <row r="14" spans="1:21">
      <c r="A14" s="80">
        <f t="shared" si="1"/>
        <v>14</v>
      </c>
      <c r="B14" s="82" t="str">
        <f t="shared" si="2"/>
        <v xml:space="preserve">      Total Accounts Receivable</v>
      </c>
      <c r="C14" s="46"/>
      <c r="D14" s="46"/>
      <c r="E14" s="46"/>
      <c r="F14" s="46"/>
      <c r="G14" s="46"/>
      <c r="H14" s="46"/>
      <c r="I14" s="140" t="s">
        <v>5</v>
      </c>
      <c r="J14" s="143">
        <f>J13</f>
        <v>17028</v>
      </c>
      <c r="K14" s="55"/>
    </row>
    <row r="15" spans="1:21">
      <c r="A15" s="80">
        <f t="shared" si="1"/>
        <v>15</v>
      </c>
      <c r="B15" s="82" t="str">
        <f t="shared" si="2"/>
        <v xml:space="preserve">      Other Current Assets</v>
      </c>
      <c r="C15" s="46"/>
      <c r="D15" s="46"/>
      <c r="E15" s="46"/>
      <c r="F15" s="46"/>
      <c r="G15" s="46"/>
      <c r="H15" s="46"/>
      <c r="I15" s="140" t="s">
        <v>198</v>
      </c>
      <c r="J15" s="142"/>
      <c r="K15" s="55"/>
    </row>
    <row r="16" spans="1:21">
      <c r="A16" s="80">
        <f t="shared" si="1"/>
        <v>16</v>
      </c>
      <c r="B16" s="82" t="str">
        <f t="shared" si="2"/>
        <v xml:space="preserve">         1300 Prepaid Expenses</v>
      </c>
      <c r="C16" s="46"/>
      <c r="D16" s="46"/>
      <c r="E16" s="46"/>
      <c r="F16" s="46"/>
      <c r="G16" s="46"/>
      <c r="H16" s="46"/>
      <c r="I16" s="140" t="s">
        <v>9</v>
      </c>
      <c r="J16" s="141">
        <f>219.5</f>
        <v>219.5</v>
      </c>
      <c r="K16" s="55"/>
    </row>
    <row r="17" spans="1:11">
      <c r="A17" s="80">
        <f t="shared" si="1"/>
        <v>17</v>
      </c>
      <c r="B17" s="82" t="str">
        <f t="shared" si="2"/>
        <v xml:space="preserve">         1900 Undeposited Funds</v>
      </c>
      <c r="C17" s="46"/>
      <c r="D17" s="46"/>
      <c r="E17" s="46"/>
      <c r="F17" s="46"/>
      <c r="G17" s="46"/>
      <c r="H17" s="46"/>
      <c r="I17" s="140" t="s">
        <v>7</v>
      </c>
      <c r="J17" s="141">
        <f>0</f>
        <v>0</v>
      </c>
      <c r="K17" s="55"/>
    </row>
    <row r="18" spans="1:11">
      <c r="A18" s="80">
        <f t="shared" si="1"/>
        <v>18</v>
      </c>
      <c r="B18" s="82" t="str">
        <f t="shared" si="2"/>
        <v xml:space="preserve">      Total Other Current Assets</v>
      </c>
      <c r="C18" s="46"/>
      <c r="D18" s="46"/>
      <c r="E18" s="46"/>
      <c r="F18" s="46"/>
      <c r="G18" s="46"/>
      <c r="H18" s="46"/>
      <c r="I18" s="140" t="s">
        <v>199</v>
      </c>
      <c r="J18" s="143">
        <f>(J16)+(J17)</f>
        <v>219.5</v>
      </c>
      <c r="K18" s="55"/>
    </row>
    <row r="19" spans="1:11">
      <c r="A19" s="80">
        <f t="shared" si="1"/>
        <v>19</v>
      </c>
      <c r="B19" s="82" t="str">
        <f t="shared" si="2"/>
        <v xml:space="preserve">   Total Current Assets</v>
      </c>
      <c r="C19" s="46"/>
      <c r="D19" s="46"/>
      <c r="E19" s="46"/>
      <c r="F19" s="46"/>
      <c r="G19" s="46"/>
      <c r="H19" s="46"/>
      <c r="I19" s="140" t="s">
        <v>110</v>
      </c>
      <c r="J19" s="143">
        <f>((J11)+(J14))+(J18)</f>
        <v>29569.23</v>
      </c>
      <c r="K19" s="55"/>
    </row>
    <row r="20" spans="1:11">
      <c r="A20" s="80">
        <f t="shared" si="1"/>
        <v>20</v>
      </c>
      <c r="B20" s="82" t="str">
        <f t="shared" si="2"/>
        <v xml:space="preserve">   Fixed Assets</v>
      </c>
      <c r="C20" s="46"/>
      <c r="D20" s="46"/>
      <c r="E20" s="46"/>
      <c r="F20" s="46"/>
      <c r="G20" s="46"/>
      <c r="H20" s="46"/>
      <c r="I20" s="140" t="s">
        <v>200</v>
      </c>
      <c r="J20" s="142"/>
      <c r="K20" s="55"/>
    </row>
    <row r="21" spans="1:11">
      <c r="A21" s="80">
        <f t="shared" si="1"/>
        <v>21</v>
      </c>
      <c r="B21" s="82" t="str">
        <f t="shared" si="2"/>
        <v xml:space="preserve">      1500 Mobile App</v>
      </c>
      <c r="C21" s="46"/>
      <c r="D21" s="46"/>
      <c r="E21" s="46"/>
      <c r="F21" s="46"/>
      <c r="G21" s="46"/>
      <c r="H21" s="46"/>
      <c r="I21" s="140" t="s">
        <v>207</v>
      </c>
      <c r="J21" s="141">
        <f>37579</f>
        <v>37579</v>
      </c>
      <c r="K21" s="55"/>
    </row>
    <row r="22" spans="1:11">
      <c r="A22" s="80">
        <f t="shared" si="1"/>
        <v>22</v>
      </c>
      <c r="B22" s="82" t="str">
        <f t="shared" si="2"/>
        <v xml:space="preserve">      1510 Trademark</v>
      </c>
      <c r="C22" s="46"/>
      <c r="D22" s="46"/>
      <c r="E22" s="46"/>
      <c r="F22" s="46"/>
      <c r="G22" s="46"/>
      <c r="H22" s="46"/>
      <c r="I22" s="140" t="s">
        <v>208</v>
      </c>
      <c r="J22" s="141">
        <f>1300</f>
        <v>1300</v>
      </c>
      <c r="K22" s="55"/>
    </row>
    <row r="23" spans="1:11">
      <c r="A23" s="80">
        <f t="shared" si="1"/>
        <v>23</v>
      </c>
      <c r="B23" s="82" t="str">
        <f t="shared" si="2"/>
        <v xml:space="preserve">      1590 Accumulated Amortization</v>
      </c>
      <c r="C23" s="46"/>
      <c r="D23" s="46"/>
      <c r="E23" s="46"/>
      <c r="F23" s="46"/>
      <c r="G23" s="46"/>
      <c r="H23" s="46"/>
      <c r="I23" s="140" t="s">
        <v>209</v>
      </c>
      <c r="J23" s="141">
        <f>-9194.75</f>
        <v>-9194.75</v>
      </c>
      <c r="K23" s="55"/>
    </row>
    <row r="24" spans="1:11">
      <c r="A24" s="80">
        <f t="shared" si="1"/>
        <v>24</v>
      </c>
      <c r="B24" s="82" t="str">
        <f t="shared" si="2"/>
        <v xml:space="preserve">   Total Fixed Assets</v>
      </c>
      <c r="C24" s="46"/>
      <c r="D24" s="46"/>
      <c r="E24" s="46"/>
      <c r="F24" s="46"/>
      <c r="G24" s="46"/>
      <c r="H24" s="46"/>
      <c r="I24" s="140" t="s">
        <v>202</v>
      </c>
      <c r="J24" s="143">
        <f>((J21)+(J22))+(J23)</f>
        <v>29684.25</v>
      </c>
      <c r="K24" s="55"/>
    </row>
    <row r="25" spans="1:11">
      <c r="A25" s="80">
        <f t="shared" si="1"/>
        <v>25</v>
      </c>
      <c r="B25" s="82" t="str">
        <f t="shared" si="2"/>
        <v xml:space="preserve">   Other Assets</v>
      </c>
      <c r="C25" s="46"/>
      <c r="D25" s="46"/>
      <c r="E25" s="46"/>
      <c r="F25" s="46"/>
      <c r="G25" s="46"/>
      <c r="H25" s="46"/>
      <c r="I25" s="140" t="s">
        <v>111</v>
      </c>
      <c r="J25" s="142"/>
      <c r="K25" s="55"/>
    </row>
    <row r="26" spans="1:11">
      <c r="A26" s="80">
        <f t="shared" si="1"/>
        <v>26</v>
      </c>
      <c r="B26" s="82" t="str">
        <f t="shared" si="2"/>
        <v xml:space="preserve">      1800 Security Deposits</v>
      </c>
      <c r="C26" s="46"/>
      <c r="D26" s="46"/>
      <c r="E26" s="46"/>
      <c r="F26" s="46"/>
      <c r="G26" s="46"/>
      <c r="H26" s="46"/>
      <c r="I26" s="140" t="s">
        <v>11</v>
      </c>
      <c r="J26" s="141">
        <f>1800</f>
        <v>1800</v>
      </c>
      <c r="K26" s="55"/>
    </row>
    <row r="27" spans="1:11">
      <c r="A27" s="80">
        <f t="shared" si="1"/>
        <v>27</v>
      </c>
      <c r="B27" s="82" t="str">
        <f t="shared" si="2"/>
        <v xml:space="preserve">   Total Other Assets</v>
      </c>
      <c r="C27" s="46"/>
      <c r="D27" s="46"/>
      <c r="E27" s="46"/>
      <c r="F27" s="46"/>
      <c r="G27" s="46"/>
      <c r="H27" s="46"/>
      <c r="I27" s="140" t="s">
        <v>112</v>
      </c>
      <c r="J27" s="143">
        <f>J26</f>
        <v>1800</v>
      </c>
      <c r="K27" s="55"/>
    </row>
    <row r="28" spans="1:11">
      <c r="A28" s="80">
        <f t="shared" si="1"/>
        <v>28</v>
      </c>
      <c r="B28" s="82" t="str">
        <f t="shared" si="2"/>
        <v>TOTAL ASSETS</v>
      </c>
      <c r="C28" s="46"/>
      <c r="D28" s="46"/>
      <c r="E28" s="46"/>
      <c r="F28" s="46"/>
      <c r="G28" s="46"/>
      <c r="H28" s="46"/>
      <c r="I28" s="140" t="s">
        <v>113</v>
      </c>
      <c r="J28" s="143">
        <f>((J19)+(J24))+(J27)</f>
        <v>61053.479999999996</v>
      </c>
      <c r="K28" s="55"/>
    </row>
    <row r="29" spans="1:11">
      <c r="A29" s="80">
        <f t="shared" si="1"/>
        <v>29</v>
      </c>
      <c r="B29" s="82" t="str">
        <f t="shared" si="2"/>
        <v>LIABILITIES AND EQUITY</v>
      </c>
      <c r="C29" s="46"/>
      <c r="D29" s="46"/>
      <c r="E29" s="46"/>
      <c r="F29" s="46"/>
      <c r="G29" s="46"/>
      <c r="H29" s="46"/>
      <c r="I29" s="140" t="s">
        <v>114</v>
      </c>
      <c r="J29" s="142"/>
      <c r="K29" s="55"/>
    </row>
    <row r="30" spans="1:11">
      <c r="A30" s="80">
        <f t="shared" si="1"/>
        <v>30</v>
      </c>
      <c r="B30" s="82" t="str">
        <f t="shared" si="2"/>
        <v xml:space="preserve">   Liabilities</v>
      </c>
      <c r="C30" s="46"/>
      <c r="D30" s="46"/>
      <c r="E30" s="46"/>
      <c r="F30" s="46"/>
      <c r="G30" s="46"/>
      <c r="H30" s="46"/>
      <c r="I30" s="140" t="s">
        <v>115</v>
      </c>
      <c r="J30" s="142"/>
      <c r="K30" s="55"/>
    </row>
    <row r="31" spans="1:11">
      <c r="A31" s="80">
        <f t="shared" si="1"/>
        <v>31</v>
      </c>
      <c r="B31" s="82" t="str">
        <f t="shared" si="2"/>
        <v xml:space="preserve">      Current Liabilities</v>
      </c>
      <c r="C31" s="46"/>
      <c r="D31" s="46"/>
      <c r="E31" s="46"/>
      <c r="F31" s="46"/>
      <c r="G31" s="46"/>
      <c r="H31" s="46"/>
      <c r="I31" s="140" t="s">
        <v>171</v>
      </c>
      <c r="J31" s="142"/>
      <c r="K31" s="55"/>
    </row>
    <row r="32" spans="1:11">
      <c r="A32" s="80">
        <f t="shared" si="1"/>
        <v>32</v>
      </c>
      <c r="B32" s="82" t="str">
        <f t="shared" si="2"/>
        <v xml:space="preserve">         Accounts Payable</v>
      </c>
      <c r="C32" s="46"/>
      <c r="D32" s="46"/>
      <c r="E32" s="46"/>
      <c r="F32" s="46"/>
      <c r="G32" s="46"/>
      <c r="H32" s="46"/>
      <c r="I32" s="140" t="s">
        <v>172</v>
      </c>
      <c r="J32" s="142"/>
      <c r="K32" s="55"/>
    </row>
    <row r="33" spans="1:11">
      <c r="A33" s="80">
        <f t="shared" si="1"/>
        <v>33</v>
      </c>
      <c r="B33" s="82" t="str">
        <f t="shared" si="2"/>
        <v xml:space="preserve">            2100 Accounts Payable (A/P)</v>
      </c>
      <c r="C33" s="46"/>
      <c r="D33" s="46"/>
      <c r="E33" s="46"/>
      <c r="F33" s="46"/>
      <c r="G33" s="46"/>
      <c r="H33" s="46"/>
      <c r="I33" s="140" t="s">
        <v>173</v>
      </c>
      <c r="J33" s="141">
        <f>0</f>
        <v>0</v>
      </c>
      <c r="K33" s="55"/>
    </row>
    <row r="34" spans="1:11">
      <c r="A34" s="80">
        <f t="shared" si="1"/>
        <v>34</v>
      </c>
      <c r="B34" s="82" t="str">
        <f t="shared" si="2"/>
        <v xml:space="preserve">         Total Accounts Payable</v>
      </c>
      <c r="C34" s="46"/>
      <c r="D34" s="46"/>
      <c r="E34" s="46"/>
      <c r="F34" s="46"/>
      <c r="G34" s="46"/>
      <c r="H34" s="46"/>
      <c r="I34" s="140" t="s">
        <v>23</v>
      </c>
      <c r="J34" s="143">
        <f>J33</f>
        <v>0</v>
      </c>
      <c r="K34" s="55"/>
    </row>
    <row r="35" spans="1:11">
      <c r="A35" s="80">
        <f t="shared" si="1"/>
        <v>35</v>
      </c>
      <c r="B35" s="82" t="str">
        <f t="shared" si="2"/>
        <v xml:space="preserve">         Other Current Liabilities</v>
      </c>
      <c r="C35" s="46"/>
      <c r="D35" s="46"/>
      <c r="E35" s="46"/>
      <c r="F35" s="46"/>
      <c r="G35" s="46"/>
      <c r="H35" s="46"/>
      <c r="I35" s="140" t="s">
        <v>174</v>
      </c>
      <c r="J35" s="142"/>
      <c r="K35" s="55"/>
    </row>
    <row r="36" spans="1:11">
      <c r="A36" s="80">
        <f t="shared" si="1"/>
        <v>36</v>
      </c>
      <c r="B36" s="82" t="str">
        <f t="shared" si="2"/>
        <v xml:space="preserve">            2300 Payroll Liabilities</v>
      </c>
      <c r="C36" s="46"/>
      <c r="D36" s="46"/>
      <c r="E36" s="46"/>
      <c r="F36" s="46"/>
      <c r="G36" s="46"/>
      <c r="H36" s="46"/>
      <c r="I36" s="140" t="s">
        <v>29</v>
      </c>
      <c r="J36" s="142"/>
      <c r="K36" s="55"/>
    </row>
    <row r="37" spans="1:11">
      <c r="A37" s="80">
        <f t="shared" si="1"/>
        <v>37</v>
      </c>
      <c r="B37" s="82" t="str">
        <f t="shared" si="2"/>
        <v xml:space="preserve">               2310 Federal Taxes (941/944)</v>
      </c>
      <c r="C37" s="46"/>
      <c r="D37" s="46"/>
      <c r="E37" s="46"/>
      <c r="F37" s="46"/>
      <c r="G37" s="46"/>
      <c r="H37" s="46"/>
      <c r="I37" s="140" t="s">
        <v>210</v>
      </c>
      <c r="J37" s="141">
        <f>0</f>
        <v>0</v>
      </c>
      <c r="K37" s="55"/>
    </row>
    <row r="38" spans="1:11">
      <c r="A38" s="80">
        <f t="shared" si="1"/>
        <v>38</v>
      </c>
      <c r="B38" s="82" t="str">
        <f t="shared" si="2"/>
        <v xml:space="preserve">               2320 NYS Employment Taxes</v>
      </c>
      <c r="C38" s="46"/>
      <c r="D38" s="46"/>
      <c r="E38" s="46"/>
      <c r="F38" s="46"/>
      <c r="G38" s="46"/>
      <c r="H38" s="46"/>
      <c r="I38" s="140" t="s">
        <v>211</v>
      </c>
      <c r="J38" s="141">
        <f>0</f>
        <v>0</v>
      </c>
      <c r="K38" s="55"/>
    </row>
    <row r="39" spans="1:11">
      <c r="A39" s="80">
        <f t="shared" si="1"/>
        <v>39</v>
      </c>
      <c r="B39" s="82" t="str">
        <f t="shared" si="2"/>
        <v xml:space="preserve">               2330 NYS Income Tax</v>
      </c>
      <c r="C39" s="46"/>
      <c r="D39" s="46"/>
      <c r="E39" s="46"/>
      <c r="F39" s="46"/>
      <c r="G39" s="46"/>
      <c r="H39" s="46"/>
      <c r="I39" s="140" t="s">
        <v>212</v>
      </c>
      <c r="J39" s="141">
        <f>0</f>
        <v>0</v>
      </c>
      <c r="K39" s="55"/>
    </row>
    <row r="40" spans="1:11">
      <c r="A40" s="80">
        <f t="shared" si="1"/>
        <v>40</v>
      </c>
      <c r="B40" s="82" t="str">
        <f t="shared" si="2"/>
        <v xml:space="preserve">            Total 2300 Payroll Liabilities</v>
      </c>
      <c r="C40" s="46"/>
      <c r="D40" s="46"/>
      <c r="E40" s="46"/>
      <c r="F40" s="46"/>
      <c r="G40" s="46"/>
      <c r="H40" s="46"/>
      <c r="I40" s="140" t="s">
        <v>203</v>
      </c>
      <c r="J40" s="143">
        <f>(((J36)+(J37))+(J38))+(J39)</f>
        <v>0</v>
      </c>
      <c r="K40" s="55"/>
    </row>
    <row r="41" spans="1:11">
      <c r="A41" s="80">
        <f t="shared" si="1"/>
        <v>41</v>
      </c>
      <c r="B41" s="82" t="str">
        <f t="shared" si="2"/>
        <v xml:space="preserve">            2400 Accrued Expenses</v>
      </c>
      <c r="C41" s="46"/>
      <c r="D41" s="46"/>
      <c r="E41" s="46"/>
      <c r="F41" s="46"/>
      <c r="G41" s="46"/>
      <c r="H41" s="46"/>
      <c r="I41" s="140" t="s">
        <v>27</v>
      </c>
      <c r="J41" s="141">
        <f>2812.36</f>
        <v>2812.36</v>
      </c>
      <c r="K41" s="55"/>
    </row>
    <row r="42" spans="1:11">
      <c r="A42" s="80">
        <f t="shared" si="1"/>
        <v>42</v>
      </c>
      <c r="B42" s="82" t="str">
        <f t="shared" si="2"/>
        <v xml:space="preserve">            2900 Direct Deposit Payable</v>
      </c>
      <c r="C42" s="46"/>
      <c r="D42" s="46"/>
      <c r="E42" s="46"/>
      <c r="F42" s="46"/>
      <c r="G42" s="46"/>
      <c r="H42" s="46"/>
      <c r="I42" s="140" t="s">
        <v>213</v>
      </c>
      <c r="J42" s="141">
        <f>0</f>
        <v>0</v>
      </c>
      <c r="K42" s="55"/>
    </row>
    <row r="43" spans="1:11">
      <c r="A43" s="80">
        <f t="shared" si="1"/>
        <v>43</v>
      </c>
      <c r="B43" s="82" t="str">
        <f t="shared" si="2"/>
        <v xml:space="preserve">         Total Other Current Liabilities</v>
      </c>
      <c r="C43" s="46"/>
      <c r="D43" s="46"/>
      <c r="E43" s="46"/>
      <c r="F43" s="46"/>
      <c r="G43" s="46"/>
      <c r="H43" s="46"/>
      <c r="I43" s="140" t="s">
        <v>175</v>
      </c>
      <c r="J43" s="143">
        <f>((J40)+(J41))+(J42)</f>
        <v>2812.36</v>
      </c>
      <c r="K43" s="55"/>
    </row>
    <row r="44" spans="1:11">
      <c r="A44" s="80">
        <f t="shared" si="1"/>
        <v>44</v>
      </c>
      <c r="B44" s="82" t="str">
        <f t="shared" si="2"/>
        <v xml:space="preserve">      Total Current Liabilities</v>
      </c>
      <c r="C44" s="46"/>
      <c r="D44" s="46"/>
      <c r="E44" s="46"/>
      <c r="F44" s="46"/>
      <c r="G44" s="46"/>
      <c r="H44" s="46"/>
      <c r="I44" s="140" t="s">
        <v>176</v>
      </c>
      <c r="J44" s="143">
        <f>(J34)+(J43)</f>
        <v>2812.36</v>
      </c>
      <c r="K44" s="55"/>
    </row>
    <row r="45" spans="1:11">
      <c r="A45" s="80">
        <f t="shared" si="1"/>
        <v>45</v>
      </c>
      <c r="B45" s="82" t="str">
        <f t="shared" si="2"/>
        <v xml:space="preserve">   Total Liabilities</v>
      </c>
      <c r="C45" s="46"/>
      <c r="D45" s="46"/>
      <c r="E45" s="46"/>
      <c r="F45" s="46"/>
      <c r="G45" s="46"/>
      <c r="H45" s="46"/>
      <c r="I45" s="140" t="s">
        <v>116</v>
      </c>
      <c r="J45" s="143">
        <f>J44</f>
        <v>2812.36</v>
      </c>
      <c r="K45" s="55"/>
    </row>
    <row r="46" spans="1:11">
      <c r="A46" s="80">
        <f t="shared" si="1"/>
        <v>46</v>
      </c>
      <c r="B46" s="82" t="str">
        <f t="shared" si="2"/>
        <v xml:space="preserve">   Equity</v>
      </c>
      <c r="C46" s="46"/>
      <c r="D46" s="46"/>
      <c r="E46" s="46"/>
      <c r="F46" s="46"/>
      <c r="G46" s="46"/>
      <c r="H46" s="46"/>
      <c r="I46" s="140" t="s">
        <v>117</v>
      </c>
      <c r="J46" s="142"/>
      <c r="K46" s="55"/>
    </row>
    <row r="47" spans="1:11">
      <c r="A47" s="80">
        <f t="shared" si="1"/>
        <v>47</v>
      </c>
      <c r="B47" s="82" t="str">
        <f t="shared" si="2"/>
        <v xml:space="preserve">      3000 Unrestricted Net Assets</v>
      </c>
      <c r="C47" s="46"/>
      <c r="D47" s="46"/>
      <c r="E47" s="46"/>
      <c r="F47" s="46"/>
      <c r="G47" s="46"/>
      <c r="H47" s="46"/>
      <c r="I47" s="140" t="s">
        <v>39</v>
      </c>
      <c r="J47" s="141">
        <f>233122.49</f>
        <v>233122.49</v>
      </c>
      <c r="K47" s="55"/>
    </row>
    <row r="48" spans="1:11">
      <c r="A48" s="80">
        <f t="shared" si="1"/>
        <v>48</v>
      </c>
      <c r="B48" s="82" t="str">
        <f t="shared" si="2"/>
        <v xml:space="preserve">      Net Revenue</v>
      </c>
      <c r="C48" s="46"/>
      <c r="D48" s="46"/>
      <c r="E48" s="46"/>
      <c r="F48" s="46"/>
      <c r="G48" s="46"/>
      <c r="H48" s="46"/>
      <c r="I48" s="140" t="s">
        <v>118</v>
      </c>
      <c r="J48" s="141">
        <f>-174881.37</f>
        <v>-174881.37</v>
      </c>
      <c r="K48" s="55"/>
    </row>
    <row r="49" spans="1:11">
      <c r="A49" s="80">
        <f t="shared" si="1"/>
        <v>49</v>
      </c>
      <c r="B49" s="82" t="str">
        <f t="shared" si="2"/>
        <v xml:space="preserve">   Total Equity</v>
      </c>
      <c r="C49" s="46"/>
      <c r="D49" s="46"/>
      <c r="E49" s="46"/>
      <c r="F49" s="46"/>
      <c r="G49" s="46"/>
      <c r="H49" s="46"/>
      <c r="I49" s="140" t="s">
        <v>40</v>
      </c>
      <c r="J49" s="143">
        <f>(J47)+(J48)</f>
        <v>58241.119999999995</v>
      </c>
      <c r="K49" s="55"/>
    </row>
    <row r="50" spans="1:11">
      <c r="A50" s="80">
        <f t="shared" si="1"/>
        <v>50</v>
      </c>
      <c r="B50" s="82" t="str">
        <f t="shared" si="2"/>
        <v>TOTAL LIABILITIES AND EQUITY</v>
      </c>
      <c r="C50" s="46"/>
      <c r="D50" s="46"/>
      <c r="E50" s="46"/>
      <c r="F50" s="46"/>
      <c r="G50" s="46"/>
      <c r="H50" s="46"/>
      <c r="I50" s="140" t="s">
        <v>119</v>
      </c>
      <c r="J50" s="143">
        <f>(J45)+(J49)</f>
        <v>61053.479999999996</v>
      </c>
      <c r="K50" s="55"/>
    </row>
    <row r="51" spans="1:11">
      <c r="A51" s="80">
        <f t="shared" si="1"/>
        <v>51</v>
      </c>
      <c r="B51" s="82" t="str">
        <f t="shared" si="2"/>
        <v/>
      </c>
      <c r="C51" s="46"/>
      <c r="D51" s="46"/>
      <c r="E51" s="46"/>
      <c r="F51" s="46"/>
      <c r="G51" s="46"/>
      <c r="H51" s="46"/>
      <c r="I51" s="65"/>
      <c r="J51" s="68"/>
      <c r="K51" s="55"/>
    </row>
    <row r="52" spans="1:11" s="25" customFormat="1">
      <c r="A52" s="80">
        <f t="shared" si="1"/>
        <v>52</v>
      </c>
      <c r="B52" s="82" t="str">
        <f t="shared" si="2"/>
        <v/>
      </c>
      <c r="C52" s="46"/>
      <c r="D52" s="46"/>
      <c r="E52" s="46"/>
      <c r="F52" s="46"/>
      <c r="G52" s="46"/>
      <c r="H52" s="46"/>
      <c r="I52" s="65"/>
      <c r="J52" s="66"/>
      <c r="K52" s="56"/>
    </row>
    <row r="53" spans="1:11">
      <c r="A53" s="80">
        <f t="shared" si="1"/>
        <v>53</v>
      </c>
      <c r="B53" s="82" t="str">
        <f t="shared" si="2"/>
        <v/>
      </c>
      <c r="C53" s="46"/>
      <c r="D53" s="46"/>
      <c r="E53" s="46"/>
      <c r="F53" s="46"/>
      <c r="G53" s="46"/>
      <c r="H53" s="46"/>
      <c r="I53" s="65"/>
      <c r="J53" s="67"/>
      <c r="K53" s="55"/>
    </row>
    <row r="54" spans="1:11">
      <c r="A54" s="80">
        <f t="shared" si="1"/>
        <v>54</v>
      </c>
      <c r="B54" s="82" t="str">
        <f t="shared" si="2"/>
        <v/>
      </c>
      <c r="C54" s="46"/>
      <c r="D54" s="46"/>
      <c r="E54" s="46"/>
      <c r="F54" s="46"/>
      <c r="G54" s="46"/>
      <c r="H54" s="46"/>
      <c r="I54" s="65"/>
      <c r="J54" s="66"/>
      <c r="K54" s="55"/>
    </row>
    <row r="55" spans="1:11">
      <c r="A55" s="80">
        <f t="shared" si="1"/>
        <v>55</v>
      </c>
      <c r="B55" s="82" t="str">
        <f t="shared" si="2"/>
        <v/>
      </c>
      <c r="C55" s="46"/>
      <c r="D55" s="46"/>
      <c r="E55" s="46"/>
      <c r="F55" s="46"/>
      <c r="G55" s="46"/>
      <c r="H55" s="46"/>
      <c r="I55" s="65"/>
      <c r="J55" s="66"/>
      <c r="K55" s="55"/>
    </row>
    <row r="56" spans="1:11">
      <c r="A56" s="80">
        <f t="shared" si="1"/>
        <v>56</v>
      </c>
      <c r="B56" s="82" t="str">
        <f t="shared" si="2"/>
        <v/>
      </c>
      <c r="C56" s="46"/>
      <c r="D56" s="46"/>
      <c r="E56" s="46"/>
      <c r="F56" s="46"/>
      <c r="G56" s="46"/>
      <c r="H56" s="46"/>
      <c r="I56" s="65"/>
      <c r="J56" s="66"/>
      <c r="K56" s="55"/>
    </row>
    <row r="57" spans="1:11">
      <c r="A57" s="80">
        <f t="shared" si="1"/>
        <v>57</v>
      </c>
      <c r="B57" s="82" t="str">
        <f t="shared" si="2"/>
        <v/>
      </c>
      <c r="C57" s="46"/>
      <c r="D57" s="46"/>
      <c r="E57" s="46"/>
      <c r="F57" s="46"/>
      <c r="G57" s="46"/>
      <c r="H57" s="46"/>
      <c r="I57" s="65"/>
      <c r="J57" s="66"/>
      <c r="K57" s="55"/>
    </row>
    <row r="58" spans="1:11">
      <c r="A58" s="80">
        <f t="shared" si="1"/>
        <v>58</v>
      </c>
      <c r="B58" s="82" t="str">
        <f t="shared" si="2"/>
        <v/>
      </c>
      <c r="C58" s="46"/>
      <c r="D58" s="46"/>
      <c r="E58" s="46"/>
      <c r="F58" s="46"/>
      <c r="G58" s="46"/>
      <c r="H58" s="46"/>
      <c r="I58" s="65"/>
      <c r="J58" s="67"/>
      <c r="K58" s="55"/>
    </row>
    <row r="59" spans="1:11">
      <c r="A59" s="80">
        <f t="shared" si="1"/>
        <v>59</v>
      </c>
      <c r="B59" s="82" t="str">
        <f t="shared" si="2"/>
        <v/>
      </c>
      <c r="C59" s="46"/>
      <c r="D59" s="46"/>
      <c r="E59" s="46"/>
      <c r="F59" s="46"/>
      <c r="G59" s="46"/>
      <c r="H59" s="46"/>
      <c r="I59" s="65"/>
      <c r="J59" s="68"/>
      <c r="K59" s="55"/>
    </row>
    <row r="60" spans="1:11">
      <c r="A60" s="80">
        <f t="shared" si="1"/>
        <v>60</v>
      </c>
      <c r="B60" s="82" t="str">
        <f t="shared" si="2"/>
        <v/>
      </c>
      <c r="C60" s="46"/>
      <c r="D60" s="46"/>
      <c r="E60" s="46"/>
      <c r="F60" s="46"/>
      <c r="G60" s="46"/>
      <c r="H60" s="46"/>
      <c r="I60" s="65"/>
      <c r="J60" s="68"/>
      <c r="K60" s="55"/>
    </row>
    <row r="61" spans="1:11">
      <c r="A61" s="80">
        <f t="shared" ref="A61:A100" si="3">A60+1</f>
        <v>61</v>
      </c>
      <c r="B61" s="82" t="str">
        <f t="shared" ref="B61:B100" si="4">C61&amp;D61&amp;E61&amp;F61&amp;G61&amp;H61&amp;I61</f>
        <v/>
      </c>
      <c r="C61" s="46"/>
      <c r="D61" s="46"/>
      <c r="E61" s="46"/>
      <c r="F61" s="46"/>
      <c r="G61" s="46"/>
      <c r="H61" s="46"/>
      <c r="I61" s="65"/>
      <c r="J61" s="66"/>
      <c r="K61" s="55"/>
    </row>
    <row r="62" spans="1:11">
      <c r="A62" s="80">
        <f t="shared" si="3"/>
        <v>62</v>
      </c>
      <c r="B62" s="82" t="str">
        <f t="shared" si="4"/>
        <v/>
      </c>
      <c r="C62" s="46"/>
      <c r="D62" s="46"/>
      <c r="E62" s="46"/>
      <c r="F62" s="46"/>
      <c r="G62" s="46"/>
      <c r="H62" s="46"/>
      <c r="I62" s="46"/>
      <c r="J62" s="47"/>
      <c r="K62" s="55"/>
    </row>
    <row r="63" spans="1:11">
      <c r="A63" s="80">
        <f t="shared" si="3"/>
        <v>63</v>
      </c>
      <c r="B63" s="82" t="str">
        <f t="shared" si="4"/>
        <v/>
      </c>
      <c r="C63" s="46"/>
      <c r="D63" s="46"/>
      <c r="E63" s="46"/>
      <c r="F63" s="46"/>
      <c r="G63" s="46"/>
      <c r="H63" s="46"/>
      <c r="I63" s="46"/>
      <c r="J63" s="47"/>
      <c r="K63" s="55"/>
    </row>
    <row r="64" spans="1:11">
      <c r="A64" s="80">
        <f t="shared" si="3"/>
        <v>64</v>
      </c>
      <c r="B64" s="82" t="str">
        <f t="shared" si="4"/>
        <v/>
      </c>
      <c r="C64" s="46"/>
      <c r="D64" s="46"/>
      <c r="E64" s="46"/>
      <c r="F64" s="46"/>
      <c r="G64" s="46"/>
      <c r="H64" s="46"/>
      <c r="I64" s="46"/>
      <c r="J64" s="47"/>
      <c r="K64" s="55"/>
    </row>
    <row r="65" spans="1:11">
      <c r="A65" s="80">
        <f t="shared" si="3"/>
        <v>65</v>
      </c>
      <c r="B65" s="82" t="str">
        <f t="shared" si="4"/>
        <v/>
      </c>
      <c r="C65" s="46"/>
      <c r="D65" s="46"/>
      <c r="E65" s="46"/>
      <c r="F65" s="46"/>
      <c r="G65" s="46"/>
      <c r="H65" s="46"/>
      <c r="I65" s="46"/>
      <c r="J65" s="47"/>
      <c r="K65" s="55"/>
    </row>
    <row r="66" spans="1:11">
      <c r="A66" s="80">
        <f t="shared" si="3"/>
        <v>66</v>
      </c>
      <c r="B66" s="82" t="str">
        <f t="shared" si="4"/>
        <v/>
      </c>
      <c r="C66" s="46"/>
      <c r="D66" s="46"/>
      <c r="E66" s="46"/>
      <c r="F66" s="46"/>
      <c r="G66" s="46"/>
      <c r="H66" s="46"/>
      <c r="I66" s="46"/>
      <c r="J66" s="47"/>
      <c r="K66" s="55"/>
    </row>
    <row r="67" spans="1:11">
      <c r="A67" s="80">
        <f t="shared" si="3"/>
        <v>67</v>
      </c>
      <c r="B67" s="82" t="str">
        <f t="shared" si="4"/>
        <v/>
      </c>
      <c r="C67" s="46"/>
      <c r="D67" s="46"/>
      <c r="E67" s="46"/>
      <c r="F67" s="46"/>
      <c r="G67" s="46"/>
      <c r="H67" s="46"/>
      <c r="I67" s="46"/>
      <c r="J67" s="47"/>
      <c r="K67" s="55"/>
    </row>
    <row r="68" spans="1:11">
      <c r="A68" s="80">
        <f t="shared" si="3"/>
        <v>68</v>
      </c>
      <c r="B68" s="82" t="str">
        <f t="shared" si="4"/>
        <v/>
      </c>
      <c r="C68" s="46"/>
      <c r="D68" s="46"/>
      <c r="E68" s="46"/>
      <c r="F68" s="46"/>
      <c r="G68" s="46"/>
      <c r="H68" s="46"/>
      <c r="I68" s="46"/>
      <c r="J68" s="47"/>
      <c r="K68" s="55"/>
    </row>
    <row r="69" spans="1:11">
      <c r="A69" s="80">
        <f t="shared" si="3"/>
        <v>69</v>
      </c>
      <c r="B69" s="82" t="str">
        <f t="shared" si="4"/>
        <v/>
      </c>
      <c r="C69" s="46"/>
      <c r="D69" s="46"/>
      <c r="E69" s="46"/>
      <c r="F69" s="46"/>
      <c r="G69" s="46"/>
      <c r="H69" s="46"/>
      <c r="I69" s="46"/>
      <c r="J69" s="47"/>
      <c r="K69" s="55"/>
    </row>
    <row r="70" spans="1:11">
      <c r="A70" s="80">
        <f t="shared" si="3"/>
        <v>70</v>
      </c>
      <c r="B70" s="82" t="str">
        <f t="shared" si="4"/>
        <v/>
      </c>
      <c r="C70" s="46"/>
      <c r="D70" s="46"/>
      <c r="E70" s="46"/>
      <c r="F70" s="46"/>
      <c r="G70" s="46"/>
      <c r="H70" s="46"/>
      <c r="I70" s="46"/>
      <c r="J70" s="47"/>
      <c r="K70" s="55"/>
    </row>
    <row r="71" spans="1:11">
      <c r="A71" s="80">
        <f t="shared" si="3"/>
        <v>71</v>
      </c>
      <c r="B71" s="82" t="str">
        <f t="shared" si="4"/>
        <v/>
      </c>
      <c r="C71" s="46"/>
      <c r="D71" s="46"/>
      <c r="E71" s="46"/>
      <c r="F71" s="46"/>
      <c r="G71" s="46"/>
      <c r="H71" s="46"/>
      <c r="I71" s="46"/>
      <c r="J71" s="47"/>
      <c r="K71" s="55"/>
    </row>
    <row r="72" spans="1:11">
      <c r="A72" s="80">
        <f t="shared" si="3"/>
        <v>72</v>
      </c>
      <c r="B72" s="82" t="str">
        <f t="shared" si="4"/>
        <v/>
      </c>
      <c r="C72" s="46"/>
      <c r="D72" s="46"/>
      <c r="E72" s="46"/>
      <c r="F72" s="46"/>
      <c r="G72" s="46"/>
      <c r="H72" s="46"/>
      <c r="I72" s="46"/>
      <c r="J72" s="47"/>
      <c r="K72" s="55"/>
    </row>
    <row r="73" spans="1:11">
      <c r="A73" s="80">
        <f t="shared" si="3"/>
        <v>73</v>
      </c>
      <c r="B73" s="82" t="str">
        <f t="shared" si="4"/>
        <v/>
      </c>
      <c r="C73" s="46"/>
      <c r="D73" s="46"/>
      <c r="E73" s="46"/>
      <c r="F73" s="46"/>
      <c r="G73" s="46"/>
      <c r="H73" s="46"/>
      <c r="I73" s="46"/>
      <c r="J73" s="47"/>
      <c r="K73" s="55"/>
    </row>
    <row r="74" spans="1:11">
      <c r="A74" s="80">
        <f t="shared" si="3"/>
        <v>74</v>
      </c>
      <c r="B74" s="82" t="str">
        <f t="shared" si="4"/>
        <v/>
      </c>
      <c r="C74" s="46"/>
      <c r="D74" s="46"/>
      <c r="E74" s="46"/>
      <c r="F74" s="46"/>
      <c r="G74" s="46"/>
      <c r="H74" s="46"/>
      <c r="I74" s="46"/>
      <c r="J74" s="47"/>
      <c r="K74" s="55"/>
    </row>
    <row r="75" spans="1:11">
      <c r="A75" s="80">
        <f t="shared" si="3"/>
        <v>75</v>
      </c>
      <c r="B75" s="82" t="str">
        <f t="shared" si="4"/>
        <v/>
      </c>
      <c r="C75" s="46"/>
      <c r="D75" s="46"/>
      <c r="E75" s="46"/>
      <c r="F75" s="46"/>
      <c r="G75" s="46"/>
      <c r="H75" s="46"/>
      <c r="I75" s="46"/>
      <c r="J75" s="47"/>
      <c r="K75" s="55"/>
    </row>
    <row r="76" spans="1:11">
      <c r="A76" s="80">
        <f t="shared" si="3"/>
        <v>76</v>
      </c>
      <c r="B76" s="82" t="str">
        <f t="shared" si="4"/>
        <v/>
      </c>
      <c r="C76" s="46"/>
      <c r="D76" s="46"/>
      <c r="E76" s="46"/>
      <c r="F76" s="46"/>
      <c r="G76" s="46"/>
      <c r="H76" s="46"/>
      <c r="I76" s="46"/>
      <c r="J76" s="47"/>
      <c r="K76" s="55"/>
    </row>
    <row r="77" spans="1:11">
      <c r="A77" s="80">
        <f t="shared" si="3"/>
        <v>77</v>
      </c>
      <c r="B77" s="82" t="str">
        <f t="shared" si="4"/>
        <v/>
      </c>
      <c r="C77" s="46"/>
      <c r="D77" s="46"/>
      <c r="E77" s="46"/>
      <c r="F77" s="46"/>
      <c r="G77" s="46"/>
      <c r="H77" s="46"/>
      <c r="I77" s="46"/>
      <c r="J77" s="47"/>
      <c r="K77" s="55"/>
    </row>
    <row r="78" spans="1:11" s="25" customFormat="1">
      <c r="A78" s="80">
        <f t="shared" si="3"/>
        <v>78</v>
      </c>
      <c r="B78" s="82" t="str">
        <f t="shared" si="4"/>
        <v/>
      </c>
      <c r="C78" s="46"/>
      <c r="D78" s="46"/>
      <c r="E78" s="46"/>
      <c r="F78" s="46"/>
      <c r="G78" s="46"/>
      <c r="H78" s="46"/>
      <c r="I78" s="46"/>
      <c r="J78" s="47"/>
      <c r="K78" s="56"/>
    </row>
    <row r="79" spans="1:11">
      <c r="A79" s="80">
        <f t="shared" si="3"/>
        <v>79</v>
      </c>
      <c r="B79" s="82" t="str">
        <f t="shared" si="4"/>
        <v/>
      </c>
      <c r="C79" s="46"/>
      <c r="D79" s="46"/>
      <c r="E79" s="46"/>
      <c r="F79" s="46"/>
      <c r="G79" s="46"/>
      <c r="H79" s="46"/>
      <c r="I79" s="46"/>
      <c r="J79" s="47"/>
      <c r="K79" s="55"/>
    </row>
    <row r="80" spans="1:11">
      <c r="A80" s="80">
        <f t="shared" si="3"/>
        <v>80</v>
      </c>
      <c r="B80" s="82" t="str">
        <f t="shared" si="4"/>
        <v/>
      </c>
      <c r="C80" s="46"/>
      <c r="D80" s="46"/>
      <c r="E80" s="46"/>
      <c r="F80" s="46"/>
      <c r="G80" s="46"/>
      <c r="H80" s="46"/>
      <c r="I80" s="46"/>
      <c r="J80" s="47"/>
      <c r="K80" s="55"/>
    </row>
    <row r="81" spans="1:11">
      <c r="A81" s="80">
        <f t="shared" si="3"/>
        <v>81</v>
      </c>
      <c r="B81" s="82" t="str">
        <f t="shared" si="4"/>
        <v/>
      </c>
      <c r="C81" s="46"/>
      <c r="D81" s="46"/>
      <c r="E81" s="46"/>
      <c r="F81" s="46"/>
      <c r="G81" s="46"/>
      <c r="H81" s="46"/>
      <c r="I81" s="46"/>
      <c r="J81" s="47"/>
      <c r="K81" s="55"/>
    </row>
    <row r="82" spans="1:11">
      <c r="A82" s="80">
        <f t="shared" si="3"/>
        <v>82</v>
      </c>
      <c r="B82" s="82" t="str">
        <f t="shared" si="4"/>
        <v/>
      </c>
      <c r="C82" s="46"/>
      <c r="D82" s="46"/>
      <c r="E82" s="46"/>
      <c r="F82" s="46"/>
      <c r="G82" s="46"/>
      <c r="H82" s="46"/>
      <c r="I82" s="46"/>
      <c r="J82" s="47"/>
      <c r="K82" s="55"/>
    </row>
    <row r="83" spans="1:11">
      <c r="A83" s="80">
        <f t="shared" si="3"/>
        <v>83</v>
      </c>
      <c r="B83" s="82" t="str">
        <f t="shared" si="4"/>
        <v/>
      </c>
      <c r="C83" s="46"/>
      <c r="D83" s="46"/>
      <c r="E83" s="46"/>
      <c r="F83" s="46"/>
      <c r="G83" s="46"/>
      <c r="H83" s="46"/>
      <c r="I83" s="46"/>
      <c r="J83" s="47"/>
      <c r="K83" s="55"/>
    </row>
    <row r="84" spans="1:11">
      <c r="A84" s="80">
        <f t="shared" si="3"/>
        <v>84</v>
      </c>
      <c r="B84" s="82" t="str">
        <f t="shared" si="4"/>
        <v/>
      </c>
      <c r="C84" s="46"/>
      <c r="D84" s="46"/>
      <c r="E84" s="46"/>
      <c r="F84" s="46"/>
      <c r="G84" s="46"/>
      <c r="H84" s="46"/>
      <c r="I84" s="46"/>
      <c r="J84" s="47"/>
      <c r="K84" s="55"/>
    </row>
    <row r="85" spans="1:11">
      <c r="A85" s="80">
        <f t="shared" si="3"/>
        <v>85</v>
      </c>
      <c r="B85" s="82" t="str">
        <f t="shared" si="4"/>
        <v/>
      </c>
      <c r="C85" s="46"/>
      <c r="D85" s="46"/>
      <c r="E85" s="46"/>
      <c r="F85" s="46"/>
      <c r="G85" s="46"/>
      <c r="H85" s="46"/>
      <c r="I85" s="46"/>
      <c r="J85" s="49"/>
      <c r="K85" s="55"/>
    </row>
    <row r="86" spans="1:11">
      <c r="A86" s="80">
        <f t="shared" si="3"/>
        <v>86</v>
      </c>
      <c r="B86" s="82" t="str">
        <f t="shared" si="4"/>
        <v/>
      </c>
      <c r="C86" s="57"/>
      <c r="D86" s="57"/>
      <c r="E86" s="57"/>
      <c r="F86" s="57"/>
      <c r="G86" s="57"/>
      <c r="H86" s="57"/>
      <c r="I86" s="57"/>
      <c r="J86" s="58"/>
      <c r="K86" s="55"/>
    </row>
    <row r="87" spans="1:11">
      <c r="A87" s="80">
        <f t="shared" si="3"/>
        <v>87</v>
      </c>
      <c r="B87" s="82" t="str">
        <f t="shared" si="4"/>
        <v/>
      </c>
      <c r="C87" s="57"/>
      <c r="D87" s="57"/>
      <c r="E87" s="57"/>
      <c r="F87" s="57"/>
      <c r="G87" s="57"/>
      <c r="H87" s="57"/>
      <c r="I87" s="57"/>
      <c r="J87" s="58"/>
      <c r="K87" s="55"/>
    </row>
    <row r="88" spans="1:11">
      <c r="A88" s="80">
        <f t="shared" si="3"/>
        <v>88</v>
      </c>
      <c r="B88" s="82" t="str">
        <f t="shared" si="4"/>
        <v/>
      </c>
      <c r="C88" s="57"/>
      <c r="D88" s="57"/>
      <c r="E88" s="57"/>
      <c r="F88" s="57"/>
      <c r="G88" s="57"/>
      <c r="H88" s="57"/>
      <c r="I88" s="57"/>
      <c r="J88" s="58"/>
      <c r="K88" s="55"/>
    </row>
    <row r="89" spans="1:11">
      <c r="A89" s="80">
        <f t="shared" si="3"/>
        <v>89</v>
      </c>
      <c r="B89" s="82" t="str">
        <f t="shared" si="4"/>
        <v/>
      </c>
      <c r="C89" s="57"/>
      <c r="D89" s="57"/>
      <c r="E89" s="57"/>
      <c r="F89" s="57"/>
      <c r="G89" s="57"/>
      <c r="H89" s="57"/>
      <c r="I89" s="57"/>
      <c r="J89" s="58"/>
      <c r="K89" s="55"/>
    </row>
    <row r="90" spans="1:11">
      <c r="A90" s="80">
        <f t="shared" si="3"/>
        <v>90</v>
      </c>
      <c r="B90" s="82" t="str">
        <f t="shared" si="4"/>
        <v/>
      </c>
      <c r="C90" s="57"/>
      <c r="D90" s="57"/>
      <c r="E90" s="57"/>
      <c r="F90" s="57"/>
      <c r="G90" s="57"/>
      <c r="H90" s="57"/>
      <c r="I90" s="57"/>
      <c r="J90" s="58"/>
      <c r="K90" s="55"/>
    </row>
    <row r="91" spans="1:11">
      <c r="A91" s="80">
        <f t="shared" si="3"/>
        <v>91</v>
      </c>
      <c r="B91" s="82" t="str">
        <f t="shared" si="4"/>
        <v/>
      </c>
      <c r="C91" s="57"/>
      <c r="D91" s="57"/>
      <c r="E91" s="57"/>
      <c r="F91" s="57"/>
      <c r="G91" s="57"/>
      <c r="H91" s="57"/>
      <c r="I91" s="57"/>
      <c r="J91" s="58"/>
      <c r="K91" s="55"/>
    </row>
    <row r="92" spans="1:11">
      <c r="A92" s="80">
        <f t="shared" si="3"/>
        <v>92</v>
      </c>
      <c r="B92" s="82" t="str">
        <f t="shared" si="4"/>
        <v/>
      </c>
      <c r="C92" s="57"/>
      <c r="D92" s="57"/>
      <c r="E92" s="57"/>
      <c r="F92" s="57"/>
      <c r="G92" s="57"/>
      <c r="H92" s="57"/>
      <c r="I92" s="57"/>
      <c r="J92" s="58"/>
      <c r="K92" s="55"/>
    </row>
    <row r="93" spans="1:11">
      <c r="A93" s="80">
        <f t="shared" si="3"/>
        <v>93</v>
      </c>
      <c r="B93" s="82" t="str">
        <f t="shared" si="4"/>
        <v/>
      </c>
      <c r="C93" s="57"/>
      <c r="D93" s="57"/>
      <c r="E93" s="57"/>
      <c r="F93" s="57"/>
      <c r="G93" s="57"/>
      <c r="H93" s="57"/>
      <c r="I93" s="57"/>
      <c r="J93" s="58"/>
      <c r="K93" s="55"/>
    </row>
    <row r="94" spans="1:11">
      <c r="A94" s="80">
        <f t="shared" si="3"/>
        <v>94</v>
      </c>
      <c r="B94" s="82" t="str">
        <f t="shared" si="4"/>
        <v/>
      </c>
    </row>
    <row r="95" spans="1:11">
      <c r="A95" s="80">
        <f t="shared" si="3"/>
        <v>95</v>
      </c>
      <c r="B95" s="82" t="str">
        <f t="shared" si="4"/>
        <v/>
      </c>
    </row>
    <row r="96" spans="1:11">
      <c r="A96" s="80">
        <f t="shared" si="3"/>
        <v>96</v>
      </c>
      <c r="B96" s="82" t="str">
        <f t="shared" si="4"/>
        <v/>
      </c>
    </row>
    <row r="97" spans="1:2">
      <c r="A97" s="80">
        <f t="shared" si="3"/>
        <v>97</v>
      </c>
      <c r="B97" s="82" t="str">
        <f t="shared" si="4"/>
        <v/>
      </c>
    </row>
    <row r="98" spans="1:2">
      <c r="A98" s="80">
        <f t="shared" si="3"/>
        <v>98</v>
      </c>
      <c r="B98" s="82" t="str">
        <f t="shared" si="4"/>
        <v/>
      </c>
    </row>
    <row r="99" spans="1:2">
      <c r="A99" s="80">
        <f t="shared" si="3"/>
        <v>99</v>
      </c>
      <c r="B99" s="82" t="str">
        <f t="shared" si="4"/>
        <v/>
      </c>
    </row>
    <row r="100" spans="1:2">
      <c r="A100" s="80">
        <f t="shared" si="3"/>
        <v>100</v>
      </c>
      <c r="B100" s="82" t="str">
        <f t="shared" si="4"/>
        <v/>
      </c>
    </row>
  </sheetData>
  <phoneticPr fontId="10" type="noConversion"/>
  <pageMargins left="0.75" right="0.75" top="1" bottom="1" header="0.1" footer="0.5"/>
  <pageSetup orientation="portrait" horizontalDpi="0" verticalDpi="0" r:id="rId1"/>
  <headerFooter alignWithMargins="0">
    <oddHeader>&amp;L&amp;"Arial,Bold"&amp;10 5:02 PM
&amp;"Arial,Bold"&amp;10 07/11/16
&amp;"Arial,Bold"&amp;10 Accrual Basis&amp;C&amp;"Arial,Bold"&amp;10 Democracy Now! Productions, Inc.
&amp;"Arial,Bold"&amp;14 Balance Sheet
&amp;"Arial,Bold"&amp;10 As of December 31, 2015</oddHeader>
    <oddFooter>&amp;R&amp;"Arial,Bold"&amp;10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12</vt:i4>
      </vt:variant>
    </vt:vector>
  </HeadingPairs>
  <TitlesOfParts>
    <vt:vector size="27" baseType="lpstr">
      <vt:lpstr>Cover</vt:lpstr>
      <vt:lpstr>SOFP</vt:lpstr>
      <vt:lpstr>SOA</vt:lpstr>
      <vt:lpstr>SOCF</vt:lpstr>
      <vt:lpstr>SOFE.current</vt:lpstr>
      <vt:lpstr>SOFE.prior</vt:lpstr>
      <vt:lpstr>NARF</vt:lpstr>
      <vt:lpstr>BS.current</vt:lpstr>
      <vt:lpstr>BS.prior</vt:lpstr>
      <vt:lpstr>BS.multi year</vt:lpstr>
      <vt:lpstr>BS by month</vt:lpstr>
      <vt:lpstr>P&amp;L.current</vt:lpstr>
      <vt:lpstr>P&amp;L.prior</vt:lpstr>
      <vt:lpstr>P&amp;L.by month</vt:lpstr>
      <vt:lpstr>Dashboard Data</vt:lpstr>
      <vt:lpstr>NARF!Print_Area</vt:lpstr>
      <vt:lpstr>SOA!Print_Area</vt:lpstr>
      <vt:lpstr>SOFE.current!Print_Area</vt:lpstr>
      <vt:lpstr>SOFE.prior!Print_Area</vt:lpstr>
      <vt:lpstr>SOFP!Print_Area</vt:lpstr>
      <vt:lpstr>'BS by month'!Print_Titles</vt:lpstr>
      <vt:lpstr>BS.current!Print_Titles</vt:lpstr>
      <vt:lpstr>'BS.multi year'!Print_Titles</vt:lpstr>
      <vt:lpstr>BS.prior!Print_Titles</vt:lpstr>
      <vt:lpstr>'P&amp;L.by month'!Print_Titles</vt:lpstr>
      <vt:lpstr>'P&amp;L.current'!Print_Titles</vt:lpstr>
      <vt:lpstr>'P&amp;L.prior'!Print_Titles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Kerri</dc:creator>
  <cp:keywords/>
  <dc:description/>
  <cp:lastModifiedBy>Sally Yu</cp:lastModifiedBy>
  <cp:revision/>
  <cp:lastPrinted>2019-02-01T18:17:23Z</cp:lastPrinted>
  <dcterms:created xsi:type="dcterms:W3CDTF">2015-04-01T19:46:35Z</dcterms:created>
  <dcterms:modified xsi:type="dcterms:W3CDTF">2019-02-08T19:14:52Z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0x0101002D7401F88F35F04DB9D353E56BB7204B</vt:lpwstr>
  </property>
</Properties>
</file>